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8.2.1時点\"/>
    </mc:Choice>
  </mc:AlternateContent>
  <xr:revisionPtr revIDLastSave="0" documentId="13_ncr:1_{0038E93B-CF53-4E39-A59A-747C4B5BB5DD}" xr6:coauthVersionLast="47" xr6:coauthVersionMax="47" xr10:uidLastSave="{00000000-0000-0000-0000-000000000000}"/>
  <bookViews>
    <workbookView xWindow="28680" yWindow="-120" windowWidth="29040" windowHeight="15720" xr2:uid="{BDE3ACE7-768E-483F-B61C-65113765DF4F}"/>
  </bookViews>
  <sheets>
    <sheet name="難病指定医" sheetId="1" r:id="rId1"/>
  </sheets>
  <definedNames>
    <definedName name="_xlnm._FilterDatabase" localSheetId="0" hidden="1">難病指定医!$A$2:$E$1770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7" i="1" l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585" i="1"/>
  <c r="C584" i="1"/>
  <c r="C582" i="1"/>
  <c r="C581" i="1"/>
  <c r="C579" i="1"/>
  <c r="C578" i="1"/>
  <c r="C1188" i="1" l="1"/>
  <c r="C1684" i="1"/>
  <c r="C556" i="1"/>
  <c r="C398" i="1"/>
  <c r="C296" i="1"/>
  <c r="C1727" i="1"/>
  <c r="C914" i="1"/>
  <c r="C363" i="1"/>
  <c r="C1173" i="1"/>
  <c r="C828" i="1"/>
  <c r="C1424" i="1"/>
  <c r="C1315" i="1"/>
  <c r="C224" i="1"/>
  <c r="C1172" i="1"/>
  <c r="C544" i="1"/>
  <c r="C884" i="1"/>
  <c r="C314" i="1"/>
  <c r="C353" i="1"/>
  <c r="C1475" i="1"/>
  <c r="C348" i="1"/>
  <c r="C511" i="1"/>
  <c r="C907" i="1"/>
  <c r="C61" i="1"/>
  <c r="C349" i="1"/>
  <c r="C362" i="1"/>
  <c r="C361" i="1"/>
  <c r="C1699" i="1"/>
  <c r="C848" i="1"/>
  <c r="C822" i="1"/>
  <c r="C524" i="1"/>
  <c r="C903" i="1"/>
  <c r="C18" i="1"/>
  <c r="C870" i="1"/>
  <c r="C1690" i="1"/>
  <c r="C1740" i="1"/>
  <c r="C1605" i="1"/>
  <c r="C392" i="1"/>
  <c r="C1769" i="1"/>
  <c r="C330" i="1"/>
  <c r="C358" i="1"/>
  <c r="C1171" i="1"/>
  <c r="C577" i="1"/>
  <c r="C1698" i="1"/>
  <c r="C576" i="1"/>
  <c r="C575" i="1"/>
  <c r="C574" i="1"/>
  <c r="C357" i="1"/>
  <c r="C391" i="1"/>
  <c r="C541" i="1"/>
  <c r="C279" i="1"/>
  <c r="C1122" i="1"/>
  <c r="C854" i="1"/>
  <c r="C735" i="1"/>
  <c r="C573" i="1"/>
  <c r="C572" i="1"/>
  <c r="C1170" i="1"/>
  <c r="C571" i="1"/>
  <c r="C570" i="1"/>
  <c r="C508" i="1"/>
  <c r="C522" i="1"/>
  <c r="C333" i="1"/>
  <c r="C356" i="1"/>
  <c r="C293" i="1"/>
  <c r="C355" i="1"/>
  <c r="C247" i="1"/>
  <c r="C1423" i="1"/>
  <c r="C1497" i="1"/>
  <c r="C849" i="1"/>
  <c r="D1472" i="1"/>
  <c r="C626" i="1"/>
  <c r="D626" i="1"/>
  <c r="C327" i="1"/>
  <c r="D327" i="1"/>
  <c r="C1722" i="1"/>
  <c r="D1722" i="1"/>
  <c r="C1607" i="1"/>
  <c r="D1607" i="1"/>
  <c r="C1608" i="1"/>
  <c r="D1608" i="1"/>
  <c r="D1714" i="1"/>
  <c r="D48" i="1"/>
  <c r="D721" i="1"/>
  <c r="C774" i="1"/>
  <c r="D774" i="1"/>
  <c r="C303" i="1"/>
  <c r="D303" i="1"/>
  <c r="C1116" i="1"/>
  <c r="D1116" i="1"/>
  <c r="C1724" i="1"/>
  <c r="D1724" i="1"/>
  <c r="D170" i="1"/>
  <c r="D1310" i="1"/>
  <c r="C1467" i="1"/>
  <c r="D1467" i="1"/>
  <c r="C1667" i="1"/>
  <c r="D1667" i="1"/>
  <c r="D12" i="1"/>
  <c r="C14" i="1"/>
  <c r="D14" i="1"/>
  <c r="C1316" i="1"/>
  <c r="D1316" i="1"/>
  <c r="D59" i="1"/>
  <c r="D814" i="1"/>
  <c r="C1663" i="1"/>
  <c r="D1663" i="1"/>
  <c r="D130" i="1"/>
  <c r="D1303" i="1"/>
  <c r="C270" i="1"/>
  <c r="D270" i="1"/>
  <c r="C1525" i="1"/>
  <c r="D1525" i="1"/>
  <c r="D1656" i="1"/>
  <c r="D1621" i="1"/>
  <c r="C1515" i="1"/>
  <c r="D1515" i="1"/>
  <c r="C843" i="1"/>
  <c r="D843" i="1"/>
  <c r="C844" i="1"/>
  <c r="D844" i="1"/>
  <c r="D1299" i="1"/>
  <c r="C1326" i="1"/>
  <c r="D1326" i="1"/>
  <c r="D312" i="1"/>
  <c r="C1692" i="1"/>
  <c r="D1692" i="1"/>
  <c r="C393" i="1"/>
  <c r="D393" i="1"/>
  <c r="C1662" i="1"/>
  <c r="D1662" i="1"/>
  <c r="C1532" i="1"/>
  <c r="D1532" i="1"/>
  <c r="D138" i="1"/>
  <c r="C647" i="1"/>
  <c r="D647" i="1"/>
  <c r="C470" i="1"/>
  <c r="D470" i="1"/>
  <c r="C537" i="1"/>
  <c r="D537" i="1"/>
  <c r="C862" i="1"/>
  <c r="D862" i="1"/>
  <c r="D11" i="1"/>
  <c r="D752" i="1"/>
  <c r="D871" i="1"/>
  <c r="D229" i="1"/>
  <c r="C1478" i="1"/>
  <c r="D1478" i="1"/>
  <c r="C1479" i="1"/>
  <c r="D1479" i="1"/>
  <c r="D1279" i="1"/>
  <c r="C394" i="1"/>
  <c r="D394" i="1"/>
  <c r="C518" i="1"/>
  <c r="D518" i="1"/>
  <c r="C1495" i="1"/>
  <c r="D1495" i="1"/>
  <c r="C720" i="1"/>
  <c r="D720" i="1"/>
  <c r="C688" i="1"/>
  <c r="D688" i="1"/>
  <c r="C1624" i="1"/>
  <c r="D1624" i="1"/>
  <c r="C240" i="1"/>
  <c r="D240" i="1"/>
  <c r="C1494" i="1"/>
  <c r="D1494" i="1"/>
  <c r="C505" i="1"/>
  <c r="D505" i="1"/>
  <c r="C915" i="1"/>
  <c r="D915" i="1"/>
  <c r="D627" i="1"/>
  <c r="D435" i="1"/>
  <c r="C629" i="1"/>
  <c r="D629" i="1"/>
  <c r="C509" i="1"/>
  <c r="D509" i="1"/>
  <c r="D1128" i="1"/>
  <c r="C1716" i="1"/>
  <c r="D1716" i="1"/>
  <c r="C830" i="1"/>
  <c r="D830" i="1"/>
  <c r="C825" i="1"/>
  <c r="D825" i="1"/>
  <c r="C1622" i="1"/>
  <c r="D1622" i="1"/>
  <c r="C1717" i="1"/>
  <c r="D1717" i="1"/>
  <c r="C1520" i="1"/>
  <c r="D1520" i="1"/>
  <c r="D325" i="1"/>
  <c r="C1300" i="1"/>
  <c r="D1300" i="1"/>
  <c r="D1113" i="1"/>
  <c r="D1264" i="1"/>
  <c r="D1531" i="1"/>
  <c r="C1700" i="1"/>
  <c r="D1700" i="1"/>
  <c r="C1455" i="1"/>
  <c r="D1455" i="1"/>
  <c r="C1288" i="1"/>
  <c r="D1288" i="1"/>
  <c r="C1695" i="1"/>
  <c r="D1695" i="1"/>
  <c r="D902" i="1"/>
  <c r="C184" i="1"/>
  <c r="D184" i="1"/>
  <c r="D1606" i="1"/>
  <c r="D1461" i="1"/>
  <c r="D79" i="1"/>
  <c r="C315" i="1"/>
  <c r="D315" i="1"/>
  <c r="C912" i="1"/>
  <c r="D912" i="1"/>
  <c r="C722" i="1"/>
  <c r="D722" i="1"/>
  <c r="D21" i="1"/>
  <c r="D63" i="1"/>
  <c r="D1274" i="1"/>
  <c r="C212" i="1"/>
  <c r="D212" i="1"/>
  <c r="D732" i="1"/>
  <c r="D1522" i="1"/>
  <c r="C890" i="1"/>
  <c r="D890" i="1"/>
  <c r="C288" i="1"/>
  <c r="D288" i="1"/>
  <c r="C395" i="1"/>
  <c r="D395" i="1"/>
  <c r="D993" i="1"/>
  <c r="C1510" i="1"/>
  <c r="D1510" i="1"/>
  <c r="C1693" i="1"/>
  <c r="D1693" i="1"/>
  <c r="D1442" i="1"/>
  <c r="D632" i="1"/>
  <c r="D633" i="1"/>
  <c r="D634" i="1"/>
  <c r="D908" i="1"/>
  <c r="C1618" i="1"/>
  <c r="D1618" i="1"/>
  <c r="C1619" i="1"/>
  <c r="D1619" i="1"/>
  <c r="D1276" i="1"/>
  <c r="C1463" i="1"/>
  <c r="D1463" i="1"/>
  <c r="C1317" i="1"/>
  <c r="D1317" i="1"/>
  <c r="D411" i="1"/>
  <c r="C139" i="1"/>
  <c r="D139" i="1"/>
  <c r="C1592" i="1"/>
  <c r="D1592" i="1"/>
  <c r="C1683" i="1"/>
  <c r="D1683" i="1"/>
  <c r="C1654" i="1"/>
  <c r="D1654" i="1"/>
  <c r="C1598" i="1"/>
  <c r="D1598" i="1"/>
  <c r="C272" i="1"/>
  <c r="D272" i="1"/>
  <c r="D202" i="1"/>
  <c r="C705" i="1"/>
  <c r="D705" i="1"/>
  <c r="D1272" i="1"/>
  <c r="D492" i="1"/>
  <c r="D186" i="1"/>
  <c r="C256" i="1"/>
  <c r="D256" i="1"/>
  <c r="D1306" i="1"/>
  <c r="D1287" i="1"/>
  <c r="C535" i="1"/>
  <c r="D535" i="1"/>
  <c r="C257" i="1"/>
  <c r="D257" i="1"/>
  <c r="D313" i="1"/>
  <c r="C258" i="1"/>
  <c r="D258" i="1"/>
  <c r="C1599" i="1"/>
  <c r="D1599" i="1"/>
  <c r="D1281" i="1"/>
  <c r="D324" i="1"/>
  <c r="C226" i="1"/>
  <c r="D226" i="1"/>
  <c r="C1526" i="1"/>
  <c r="D1526" i="1"/>
  <c r="D1422" i="1"/>
  <c r="D271" i="1"/>
  <c r="D562" i="1"/>
  <c r="C692" i="1"/>
  <c r="D692" i="1"/>
  <c r="C869" i="1"/>
  <c r="D869" i="1"/>
  <c r="D1681" i="1"/>
  <c r="C1666" i="1"/>
  <c r="D1666" i="1"/>
  <c r="C823" i="1"/>
  <c r="D823" i="1"/>
  <c r="C1713" i="1"/>
  <c r="D1713" i="1"/>
  <c r="C1143" i="1"/>
  <c r="D1143" i="1"/>
  <c r="C1144" i="1"/>
  <c r="D1144" i="1"/>
  <c r="D67" i="1"/>
  <c r="C1111" i="1"/>
  <c r="D1111" i="1"/>
  <c r="C228" i="1"/>
  <c r="D228" i="1"/>
  <c r="D564" i="1"/>
  <c r="C168" i="1"/>
  <c r="D168" i="1"/>
  <c r="C222" i="1"/>
  <c r="D222" i="1"/>
  <c r="D899" i="1"/>
  <c r="D334" i="1"/>
  <c r="D900" i="1"/>
  <c r="D901" i="1"/>
  <c r="C242" i="1"/>
  <c r="D242" i="1"/>
  <c r="C1296" i="1"/>
  <c r="D1296" i="1"/>
  <c r="D292" i="1"/>
  <c r="C625" i="1"/>
  <c r="D625" i="1"/>
  <c r="C563" i="1"/>
  <c r="D563" i="1"/>
  <c r="C502" i="1"/>
  <c r="D502" i="1"/>
  <c r="C1123" i="1"/>
  <c r="D1123" i="1"/>
  <c r="C1100" i="1"/>
  <c r="D1100" i="1"/>
  <c r="C1460" i="1"/>
  <c r="D1460" i="1"/>
  <c r="C1748" i="1"/>
  <c r="D1748" i="1"/>
  <c r="D1154" i="1"/>
  <c r="C1516" i="1"/>
  <c r="D1516" i="1"/>
  <c r="D68" i="1"/>
  <c r="C1289" i="1"/>
  <c r="D1289" i="1"/>
  <c r="D782" i="1"/>
  <c r="C512" i="1"/>
  <c r="D512" i="1"/>
  <c r="D724" i="1"/>
  <c r="C1694" i="1"/>
  <c r="D1694" i="1"/>
  <c r="C1682" i="1"/>
  <c r="D1682" i="1"/>
  <c r="C628" i="1"/>
  <c r="D628" i="1"/>
  <c r="D905" i="1"/>
  <c r="D1676" i="1"/>
  <c r="D39" i="1"/>
  <c r="D276" i="1"/>
  <c r="C1623" i="1"/>
  <c r="D1623" i="1"/>
  <c r="C503" i="1"/>
  <c r="D503" i="1"/>
  <c r="C1657" i="1"/>
  <c r="D1657" i="1"/>
  <c r="C154" i="1"/>
  <c r="D154" i="1"/>
  <c r="C1723" i="1"/>
  <c r="D1723" i="1"/>
  <c r="C539" i="1"/>
  <c r="D539" i="1"/>
  <c r="D28" i="1"/>
  <c r="D1120" i="1"/>
  <c r="C409" i="1"/>
  <c r="D409" i="1"/>
  <c r="D1136" i="1"/>
  <c r="D723" i="1"/>
  <c r="C1268" i="1"/>
  <c r="D1268" i="1"/>
  <c r="C1285" i="1"/>
  <c r="D1285" i="1"/>
  <c r="D644" i="1"/>
  <c r="C646" i="1"/>
  <c r="D646" i="1"/>
  <c r="C1691" i="1"/>
  <c r="D1691" i="1"/>
  <c r="D1157" i="1"/>
  <c r="D994" i="1"/>
  <c r="C1587" i="1"/>
  <c r="D1587" i="1"/>
  <c r="D307" i="1"/>
  <c r="D1127" i="1"/>
  <c r="C538" i="1"/>
  <c r="D538" i="1"/>
  <c r="D158" i="1"/>
  <c r="D159" i="1"/>
  <c r="D47" i="1"/>
  <c r="C496" i="1"/>
  <c r="D496" i="1"/>
  <c r="C1459" i="1"/>
  <c r="D1459" i="1"/>
  <c r="C306" i="1"/>
  <c r="D306" i="1"/>
  <c r="C128" i="1"/>
  <c r="D128" i="1"/>
  <c r="C5" i="1"/>
  <c r="D5" i="1"/>
  <c r="D772" i="1"/>
  <c r="D643" i="1"/>
  <c r="C1521" i="1"/>
  <c r="D1521" i="1"/>
  <c r="C566" i="1"/>
  <c r="D566" i="1"/>
  <c r="D86" i="1"/>
  <c r="D77" i="1"/>
  <c r="D316" i="1"/>
  <c r="D87" i="1"/>
  <c r="D88" i="1"/>
  <c r="D89" i="1"/>
  <c r="C246" i="1"/>
  <c r="D246" i="1"/>
  <c r="D90" i="1"/>
  <c r="D91" i="1"/>
  <c r="D92" i="1"/>
  <c r="D93" i="1"/>
  <c r="D94" i="1"/>
  <c r="D58" i="1"/>
  <c r="C546" i="1"/>
  <c r="D546" i="1"/>
  <c r="D7" i="1"/>
  <c r="D268" i="1"/>
  <c r="D335" i="1"/>
  <c r="D568" i="1"/>
  <c r="C685" i="1"/>
  <c r="D685" i="1"/>
  <c r="D125" i="1"/>
  <c r="D341" i="1"/>
  <c r="C413" i="1"/>
  <c r="D413" i="1"/>
  <c r="C414" i="1"/>
  <c r="D414" i="1"/>
  <c r="D146" i="1"/>
  <c r="D52" i="1"/>
  <c r="D147" i="1"/>
  <c r="D148" i="1"/>
  <c r="C169" i="1"/>
  <c r="D169" i="1"/>
  <c r="D171" i="1"/>
  <c r="D132" i="1"/>
  <c r="D813" i="1"/>
  <c r="C1269" i="1"/>
  <c r="D1269" i="1"/>
  <c r="C209" i="1"/>
  <c r="D209" i="1"/>
  <c r="C210" i="1"/>
  <c r="D210" i="1"/>
  <c r="C1458" i="1"/>
  <c r="D1458" i="1"/>
  <c r="D641" i="1"/>
  <c r="C547" i="1"/>
  <c r="D547" i="1"/>
  <c r="C889" i="1"/>
  <c r="D889" i="1"/>
  <c r="D886" i="1"/>
  <c r="C734" i="1"/>
  <c r="D734" i="1"/>
  <c r="D20" i="1"/>
  <c r="C1109" i="1"/>
  <c r="D1109" i="1"/>
  <c r="C133" i="1"/>
  <c r="D133" i="1"/>
  <c r="C704" i="1"/>
  <c r="D704" i="1"/>
  <c r="D278" i="1"/>
  <c r="C408" i="1"/>
  <c r="D408" i="1"/>
  <c r="C645" i="1"/>
  <c r="D645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242" i="1"/>
  <c r="D1105" i="1"/>
  <c r="D1243" i="1"/>
  <c r="D1244" i="1"/>
  <c r="D1245" i="1"/>
  <c r="D1246" i="1"/>
  <c r="D1247" i="1"/>
  <c r="D1248" i="1"/>
  <c r="D1249" i="1"/>
  <c r="D1250" i="1"/>
  <c r="D1251" i="1"/>
  <c r="D1252" i="1"/>
  <c r="D283" i="1"/>
  <c r="D1253" i="1"/>
  <c r="D847" i="1"/>
  <c r="D1254" i="1"/>
  <c r="D658" i="1"/>
  <c r="D1200" i="1"/>
  <c r="D1439" i="1"/>
  <c r="D659" i="1"/>
  <c r="D588" i="1"/>
  <c r="D660" i="1"/>
  <c r="D589" i="1"/>
  <c r="D95" i="1"/>
  <c r="D523" i="1"/>
  <c r="D187" i="1"/>
  <c r="D590" i="1"/>
  <c r="D591" i="1"/>
  <c r="D1255" i="1"/>
  <c r="D592" i="1"/>
  <c r="D593" i="1"/>
  <c r="D594" i="1"/>
  <c r="C1174" i="1"/>
  <c r="D1174" i="1"/>
  <c r="D96" i="1"/>
  <c r="D595" i="1"/>
  <c r="D596" i="1"/>
  <c r="D1096" i="1"/>
  <c r="D597" i="1"/>
  <c r="D598" i="1"/>
  <c r="D599" i="1"/>
  <c r="D436" i="1"/>
  <c r="D600" i="1"/>
  <c r="D1672" i="1"/>
  <c r="D1737" i="1"/>
  <c r="D1677" i="1"/>
  <c r="D1678" i="1"/>
  <c r="C1474" i="1"/>
  <c r="D1474" i="1"/>
  <c r="C1499" i="1"/>
  <c r="D1499" i="1"/>
  <c r="C1473" i="1"/>
  <c r="D1473" i="1"/>
  <c r="D1131" i="1"/>
  <c r="C532" i="1"/>
  <c r="D532" i="1"/>
  <c r="C155" i="1"/>
  <c r="D155" i="1"/>
  <c r="C1305" i="1"/>
  <c r="D1305" i="1"/>
  <c r="C1298" i="1"/>
  <c r="D1298" i="1"/>
  <c r="C8" i="1"/>
  <c r="D8" i="1"/>
  <c r="D485" i="1"/>
  <c r="D1443" i="1"/>
  <c r="C1457" i="1"/>
  <c r="D1457" i="1"/>
  <c r="D1444" i="1"/>
  <c r="D1445" i="1"/>
  <c r="D475" i="1"/>
  <c r="D60" i="1"/>
  <c r="D476" i="1"/>
  <c r="D477" i="1"/>
  <c r="D661" i="1"/>
  <c r="D478" i="1"/>
  <c r="D479" i="1"/>
  <c r="D480" i="1"/>
  <c r="D481" i="1"/>
  <c r="D482" i="1"/>
  <c r="D160" i="1"/>
  <c r="C1686" i="1"/>
  <c r="D1686" i="1"/>
  <c r="C565" i="1"/>
  <c r="D565" i="1"/>
  <c r="D529" i="1"/>
  <c r="C396" i="1"/>
  <c r="D396" i="1"/>
  <c r="C1110" i="1"/>
  <c r="D1110" i="1"/>
  <c r="D1507" i="1"/>
  <c r="D622" i="1"/>
  <c r="D623" i="1"/>
  <c r="C1421" i="1"/>
  <c r="D1421" i="1"/>
  <c r="D135" i="1"/>
  <c r="D13" i="1"/>
  <c r="C548" i="1"/>
  <c r="D548" i="1"/>
  <c r="C1600" i="1"/>
  <c r="D1600" i="1"/>
  <c r="C549" i="1"/>
  <c r="D549" i="1"/>
  <c r="C550" i="1"/>
  <c r="D550" i="1"/>
  <c r="C259" i="1"/>
  <c r="D259" i="1"/>
  <c r="C260" i="1"/>
  <c r="D260" i="1"/>
  <c r="D1201" i="1"/>
  <c r="D1097" i="1"/>
  <c r="D1098" i="1"/>
  <c r="D601" i="1"/>
  <c r="D602" i="1"/>
  <c r="C297" i="1"/>
  <c r="D297" i="1"/>
  <c r="C551" i="1"/>
  <c r="D551" i="1"/>
  <c r="D69" i="1"/>
  <c r="D1106" i="1"/>
  <c r="D876" i="1"/>
  <c r="D877" i="1"/>
  <c r="D878" i="1"/>
  <c r="D1202" i="1"/>
  <c r="C397" i="1"/>
  <c r="D397" i="1"/>
  <c r="C1500" i="1"/>
  <c r="D1500" i="1"/>
  <c r="C1501" i="1"/>
  <c r="D1501" i="1"/>
  <c r="C1145" i="1"/>
  <c r="D1145" i="1"/>
  <c r="C1502" i="1"/>
  <c r="D1502" i="1"/>
  <c r="D630" i="1"/>
  <c r="D1203" i="1"/>
  <c r="D483" i="1"/>
  <c r="D1446" i="1"/>
  <c r="C552" i="1"/>
  <c r="D552" i="1"/>
  <c r="D317" i="1"/>
  <c r="D437" i="1"/>
  <c r="D438" i="1"/>
  <c r="D439" i="1"/>
  <c r="C468" i="1"/>
  <c r="D468" i="1"/>
  <c r="D167" i="1"/>
  <c r="D97" i="1"/>
  <c r="D650" i="1"/>
  <c r="D440" i="1"/>
  <c r="D441" i="1"/>
  <c r="D442" i="1"/>
  <c r="D443" i="1"/>
  <c r="D1204" i="1"/>
  <c r="D444" i="1"/>
  <c r="D445" i="1"/>
  <c r="D1541" i="1"/>
  <c r="D446" i="1"/>
  <c r="D447" i="1"/>
  <c r="D448" i="1"/>
  <c r="D398" i="1"/>
  <c r="D188" i="1"/>
  <c r="D98" i="1"/>
  <c r="D1484" i="1"/>
  <c r="D449" i="1"/>
  <c r="C1146" i="1"/>
  <c r="D1146" i="1"/>
  <c r="D569" i="1"/>
  <c r="C701" i="1"/>
  <c r="D701" i="1"/>
  <c r="D1646" i="1"/>
  <c r="D450" i="1"/>
  <c r="C205" i="1"/>
  <c r="D205" i="1"/>
  <c r="D1705" i="1"/>
  <c r="D1706" i="1"/>
  <c r="D1707" i="1"/>
  <c r="D451" i="1"/>
  <c r="D1206" i="1"/>
  <c r="C1588" i="1"/>
  <c r="D1588" i="1"/>
  <c r="C1601" i="1"/>
  <c r="D1601" i="1"/>
  <c r="D1665" i="1"/>
  <c r="C1529" i="1"/>
  <c r="D1529" i="1"/>
  <c r="D1545" i="1"/>
  <c r="D1546" i="1"/>
  <c r="D1447" i="1"/>
  <c r="D1547" i="1"/>
  <c r="C1162" i="1"/>
  <c r="D1162" i="1"/>
  <c r="D100" i="1"/>
  <c r="D1548" i="1"/>
  <c r="D1549" i="1"/>
  <c r="D1550" i="1"/>
  <c r="D1551" i="1"/>
  <c r="D1552" i="1"/>
  <c r="C1602" i="1"/>
  <c r="D1602" i="1"/>
  <c r="D101" i="1"/>
  <c r="D102" i="1"/>
  <c r="D19" i="1"/>
  <c r="D103" i="1"/>
  <c r="D104" i="1"/>
  <c r="D105" i="1"/>
  <c r="C30" i="1"/>
  <c r="D30" i="1"/>
  <c r="D1207" i="1"/>
  <c r="D1343" i="1"/>
  <c r="D1448" i="1"/>
  <c r="D1208" i="1"/>
  <c r="D1519" i="1"/>
  <c r="D1209" i="1"/>
  <c r="D1344" i="1"/>
  <c r="D1345" i="1"/>
  <c r="D1485" i="1"/>
  <c r="D1286" i="1"/>
  <c r="D32" i="1"/>
  <c r="D1387" i="1"/>
  <c r="C1163" i="1"/>
  <c r="D1163" i="1"/>
  <c r="D714" i="1"/>
  <c r="D715" i="1"/>
  <c r="D716" i="1"/>
  <c r="D717" i="1"/>
  <c r="D718" i="1"/>
  <c r="C500" i="1"/>
  <c r="D500" i="1"/>
  <c r="D74" i="1"/>
  <c r="D1760" i="1"/>
  <c r="D1761" i="1"/>
  <c r="D1762" i="1"/>
  <c r="D1671" i="1"/>
  <c r="D1210" i="1"/>
  <c r="D1211" i="1"/>
  <c r="D75" i="1"/>
  <c r="C1164" i="1"/>
  <c r="D1164" i="1"/>
  <c r="C554" i="1"/>
  <c r="D554" i="1"/>
  <c r="D1553" i="1"/>
  <c r="C1114" i="1"/>
  <c r="D1114" i="1"/>
  <c r="D738" i="1"/>
  <c r="D319" i="1"/>
  <c r="D320" i="1"/>
  <c r="D739" i="1"/>
  <c r="C1134" i="1"/>
  <c r="D1134" i="1"/>
  <c r="D1212" i="1"/>
  <c r="D106" i="1"/>
  <c r="C134" i="1"/>
  <c r="D134" i="1"/>
  <c r="D995" i="1"/>
  <c r="C208" i="1"/>
  <c r="D208" i="1"/>
  <c r="D996" i="1"/>
  <c r="D1554" i="1"/>
  <c r="D1301" i="1"/>
  <c r="C231" i="1"/>
  <c r="D231" i="1"/>
  <c r="D177" i="1"/>
  <c r="D1213" i="1"/>
  <c r="D997" i="1"/>
  <c r="D452" i="1"/>
  <c r="D1668" i="1"/>
  <c r="D1214" i="1"/>
  <c r="D1555" i="1"/>
  <c r="D217" i="1"/>
  <c r="D1556" i="1"/>
  <c r="C1523" i="1"/>
  <c r="D1523" i="1"/>
  <c r="D1527" i="1"/>
  <c r="D1557" i="1"/>
  <c r="D1558" i="1"/>
  <c r="D1559" i="1"/>
  <c r="C1513" i="1"/>
  <c r="D1513" i="1"/>
  <c r="D1528" i="1"/>
  <c r="D1346" i="1"/>
  <c r="D1560" i="1"/>
  <c r="D1347" i="1"/>
  <c r="D998" i="1"/>
  <c r="C1263" i="1"/>
  <c r="D1263" i="1"/>
  <c r="D1561" i="1"/>
  <c r="D1650" i="1"/>
  <c r="D1562" i="1"/>
  <c r="D1563" i="1"/>
  <c r="D1348" i="1"/>
  <c r="D1349" i="1"/>
  <c r="D1350" i="1"/>
  <c r="D605" i="1"/>
  <c r="D1351" i="1"/>
  <c r="D1352" i="1"/>
  <c r="D1353" i="1"/>
  <c r="D1354" i="1"/>
  <c r="D107" i="1"/>
  <c r="D1355" i="1"/>
  <c r="D1356" i="1"/>
  <c r="D791" i="1"/>
  <c r="D711" i="1"/>
  <c r="D740" i="1"/>
  <c r="D741" i="1"/>
  <c r="D1449" i="1"/>
  <c r="D453" i="1"/>
  <c r="D486" i="1"/>
  <c r="D1564" i="1"/>
  <c r="D999" i="1"/>
  <c r="D792" i="1"/>
  <c r="D1000" i="1"/>
  <c r="D1506" i="1"/>
  <c r="D1504" i="1"/>
  <c r="D662" i="1"/>
  <c r="D1001" i="1"/>
  <c r="D1486" i="1"/>
  <c r="D1101" i="1"/>
  <c r="D108" i="1"/>
  <c r="D1388" i="1"/>
  <c r="D1002" i="1"/>
  <c r="D1003" i="1"/>
  <c r="D1004" i="1"/>
  <c r="D454" i="1"/>
  <c r="D109" i="1"/>
  <c r="D1005" i="1"/>
  <c r="D687" i="1"/>
  <c r="D1006" i="1"/>
  <c r="C690" i="1"/>
  <c r="D690" i="1"/>
  <c r="D1007" i="1"/>
  <c r="D1565" i="1"/>
  <c r="D164" i="1"/>
  <c r="D1008" i="1"/>
  <c r="C807" i="1"/>
  <c r="D807" i="1"/>
  <c r="D1009" i="1"/>
  <c r="D1010" i="1"/>
  <c r="D455" i="1"/>
  <c r="C1476" i="1"/>
  <c r="D1476" i="1"/>
  <c r="D233" i="1"/>
  <c r="C1530" i="1"/>
  <c r="D1530" i="1"/>
  <c r="D606" i="1"/>
  <c r="C840" i="1"/>
  <c r="D840" i="1"/>
  <c r="D1119" i="1"/>
  <c r="D1011" i="1"/>
  <c r="D1012" i="1"/>
  <c r="D1013" i="1"/>
  <c r="D110" i="1"/>
  <c r="D1014" i="1"/>
  <c r="D126" i="1"/>
  <c r="D1015" i="1"/>
  <c r="D1016" i="1"/>
  <c r="D1017" i="1"/>
  <c r="D111" i="1"/>
  <c r="D1450" i="1"/>
  <c r="C839" i="1"/>
  <c r="D839" i="1"/>
  <c r="D1018" i="1"/>
  <c r="D1019" i="1"/>
  <c r="D1020" i="1"/>
  <c r="D456" i="1"/>
  <c r="D1021" i="1"/>
  <c r="D1022" i="1"/>
  <c r="D1023" i="1"/>
  <c r="D1389" i="1"/>
  <c r="C1165" i="1"/>
  <c r="D1165" i="1"/>
  <c r="D1024" i="1"/>
  <c r="D457" i="1"/>
  <c r="D112" i="1"/>
  <c r="D742" i="1"/>
  <c r="D1357" i="1"/>
  <c r="D1025" i="1"/>
  <c r="C894" i="1"/>
  <c r="D894" i="1"/>
  <c r="D1358" i="1"/>
  <c r="D1390" i="1"/>
  <c r="D1026" i="1"/>
  <c r="D1027" i="1"/>
  <c r="D1028" i="1"/>
  <c r="C817" i="1"/>
  <c r="D817" i="1"/>
  <c r="C1482" i="1"/>
  <c r="D1482" i="1"/>
  <c r="D458" i="1"/>
  <c r="D1029" i="1"/>
  <c r="D765" i="1"/>
  <c r="D1158" i="1"/>
  <c r="D1030" i="1"/>
  <c r="D1031" i="1"/>
  <c r="D1465" i="1"/>
  <c r="D1391" i="1"/>
  <c r="D1566" i="1"/>
  <c r="D1032" i="1"/>
  <c r="D1033" i="1"/>
  <c r="D1567" i="1"/>
  <c r="D1257" i="1"/>
  <c r="D1034" i="1"/>
  <c r="C555" i="1"/>
  <c r="D555" i="1"/>
  <c r="D556" i="1"/>
  <c r="D663" i="1"/>
  <c r="D1035" i="1"/>
  <c r="D487" i="1"/>
  <c r="D1215" i="1"/>
  <c r="C31" i="1"/>
  <c r="D31" i="1"/>
  <c r="D1763" i="1"/>
  <c r="D1036" i="1"/>
  <c r="D1451" i="1"/>
  <c r="C855" i="1"/>
  <c r="D855" i="1"/>
  <c r="D892" i="1"/>
  <c r="D1037" i="1"/>
  <c r="D893" i="1"/>
  <c r="C1166" i="1"/>
  <c r="D1166" i="1"/>
  <c r="D1139" i="1"/>
  <c r="C1167" i="1"/>
  <c r="D1167" i="1"/>
  <c r="D879" i="1"/>
  <c r="D127" i="1"/>
  <c r="D1216" i="1"/>
  <c r="D607" i="1"/>
  <c r="D113" i="1"/>
  <c r="D165" i="1"/>
  <c r="D175" i="1"/>
  <c r="D608" i="1"/>
  <c r="D1359" i="1"/>
  <c r="C1283" i="1"/>
  <c r="D1283" i="1"/>
  <c r="C1729" i="1"/>
  <c r="D1729" i="1"/>
  <c r="D1360" i="1"/>
  <c r="D1361" i="1"/>
  <c r="D1362" i="1"/>
  <c r="D743" i="1"/>
  <c r="C885" i="1"/>
  <c r="D885" i="1"/>
  <c r="D42" i="1"/>
  <c r="D1487" i="1"/>
  <c r="D1764" i="1"/>
  <c r="D1140" i="1"/>
  <c r="C1730" i="1"/>
  <c r="D1730" i="1"/>
  <c r="D178" i="1"/>
  <c r="D471" i="1"/>
  <c r="D1363" i="1"/>
  <c r="D1322" i="1"/>
  <c r="C1379" i="1"/>
  <c r="D1379" i="1"/>
  <c r="D431" i="1"/>
  <c r="D189" i="1"/>
  <c r="D190" i="1"/>
  <c r="D191" i="1"/>
  <c r="D23" i="1"/>
  <c r="D1741" i="1"/>
  <c r="D498" i="1"/>
  <c r="D664" i="1"/>
  <c r="D665" i="1"/>
  <c r="D666" i="1"/>
  <c r="D771" i="1"/>
  <c r="D667" i="1"/>
  <c r="D668" i="1"/>
  <c r="D669" i="1"/>
  <c r="D1038" i="1"/>
  <c r="D670" i="1"/>
  <c r="D793" i="1"/>
  <c r="D794" i="1"/>
  <c r="D795" i="1"/>
  <c r="D796" i="1"/>
  <c r="D797" i="1"/>
  <c r="D798" i="1"/>
  <c r="D799" i="1"/>
  <c r="D1039" i="1"/>
  <c r="D1392" i="1"/>
  <c r="C37" i="1"/>
  <c r="D37" i="1"/>
  <c r="D1765" i="1"/>
  <c r="D1040" i="1"/>
  <c r="D1041" i="1"/>
  <c r="D114" i="1"/>
  <c r="D1042" i="1"/>
  <c r="C856" i="1"/>
  <c r="D856" i="1"/>
  <c r="C261" i="1"/>
  <c r="D261" i="1"/>
  <c r="C368" i="1"/>
  <c r="D368" i="1"/>
  <c r="D321" i="1"/>
  <c r="D44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D342" i="1"/>
  <c r="C376" i="1"/>
  <c r="D376" i="1"/>
  <c r="C377" i="1"/>
  <c r="D377" i="1"/>
  <c r="D609" i="1"/>
  <c r="C378" i="1"/>
  <c r="D378" i="1"/>
  <c r="C379" i="1"/>
  <c r="D379" i="1"/>
  <c r="C380" i="1"/>
  <c r="D380" i="1"/>
  <c r="D230" i="1"/>
  <c r="C381" i="1"/>
  <c r="D381" i="1"/>
  <c r="D54" i="1"/>
  <c r="C399" i="1"/>
  <c r="D399" i="1"/>
  <c r="D1651" i="1"/>
  <c r="D610" i="1"/>
  <c r="C382" i="1"/>
  <c r="D382" i="1"/>
  <c r="D322" i="1"/>
  <c r="D1393" i="1"/>
  <c r="D1394" i="1"/>
  <c r="D1395" i="1"/>
  <c r="D611" i="1"/>
  <c r="D612" i="1"/>
  <c r="D1396" i="1"/>
  <c r="D1397" i="1"/>
  <c r="D1398" i="1"/>
  <c r="D1568" i="1"/>
  <c r="D1399" i="1"/>
  <c r="D1400" i="1"/>
  <c r="D1488" i="1"/>
  <c r="D1401" i="1"/>
  <c r="D1402" i="1"/>
  <c r="D1403" i="1"/>
  <c r="D1404" i="1"/>
  <c r="D1405" i="1"/>
  <c r="D1406" i="1"/>
  <c r="D1407" i="1"/>
  <c r="D1408" i="1"/>
  <c r="D1409" i="1"/>
  <c r="D1489" i="1"/>
  <c r="D1410" i="1"/>
  <c r="D1411" i="1"/>
  <c r="D1412" i="1"/>
  <c r="D1413" i="1"/>
  <c r="D1414" i="1"/>
  <c r="D1415" i="1"/>
  <c r="D820" i="1"/>
  <c r="D1612" i="1"/>
  <c r="C837" i="1"/>
  <c r="D837" i="1"/>
  <c r="D290" i="1"/>
  <c r="C1168" i="1"/>
  <c r="D1168" i="1"/>
  <c r="D1569" i="1"/>
  <c r="C1735" i="1"/>
  <c r="D1735" i="1"/>
  <c r="C519" i="1"/>
  <c r="D519" i="1"/>
  <c r="D192" i="1"/>
  <c r="D149" i="1"/>
  <c r="D183" i="1"/>
  <c r="D193" i="1"/>
  <c r="C1176" i="1"/>
  <c r="D1176" i="1"/>
  <c r="D1172" i="1"/>
  <c r="C1177" i="1"/>
  <c r="D1177" i="1"/>
  <c r="D1043" i="1"/>
  <c r="D521" i="1"/>
  <c r="D1617" i="1"/>
  <c r="D712" i="1"/>
  <c r="D45" i="1"/>
  <c r="D800" i="1"/>
  <c r="C1178" i="1"/>
  <c r="D1178" i="1"/>
  <c r="C211" i="1"/>
  <c r="D211" i="1"/>
  <c r="D218" i="1"/>
  <c r="D744" i="1"/>
  <c r="D1044" i="1"/>
  <c r="D1217" i="1"/>
  <c r="D46" i="1"/>
  <c r="D150" i="1"/>
  <c r="C1591" i="1"/>
  <c r="D1591" i="1"/>
  <c r="D1045" i="1"/>
  <c r="D34" i="1"/>
  <c r="D1046" i="1"/>
  <c r="D613" i="1"/>
  <c r="C557" i="1"/>
  <c r="D557" i="1"/>
  <c r="C383" i="1"/>
  <c r="D383" i="1"/>
  <c r="C1427" i="1"/>
  <c r="D1427" i="1"/>
  <c r="C1428" i="1"/>
  <c r="D1428" i="1"/>
  <c r="D1364" i="1"/>
  <c r="D194" i="1"/>
  <c r="C298" i="1"/>
  <c r="D298" i="1"/>
  <c r="D1124" i="1"/>
  <c r="D1365" i="1"/>
  <c r="D1047" i="1"/>
  <c r="C748" i="1"/>
  <c r="D748" i="1"/>
  <c r="C1731" i="1"/>
  <c r="D1731" i="1"/>
  <c r="D838" i="1"/>
  <c r="C1732" i="1"/>
  <c r="D1732" i="1"/>
  <c r="C203" i="1"/>
  <c r="D203" i="1"/>
  <c r="C299" i="1"/>
  <c r="D299" i="1"/>
  <c r="C309" i="1"/>
  <c r="D309" i="1"/>
  <c r="D15" i="1"/>
  <c r="D614" i="1"/>
  <c r="C1603" i="1"/>
  <c r="D1603" i="1"/>
  <c r="D1570" i="1"/>
  <c r="D1048" i="1"/>
  <c r="D1218" i="1"/>
  <c r="D1366" i="1"/>
  <c r="D71" i="1"/>
  <c r="C1179" i="1"/>
  <c r="D1179" i="1"/>
  <c r="C1180" i="1"/>
  <c r="D1180" i="1"/>
  <c r="C1181" i="1"/>
  <c r="D1181" i="1"/>
  <c r="C1182" i="1"/>
  <c r="D1182" i="1"/>
  <c r="C1183" i="1"/>
  <c r="D1183" i="1"/>
  <c r="C1184" i="1"/>
  <c r="D1184" i="1"/>
  <c r="D766" i="1"/>
  <c r="C1185" i="1"/>
  <c r="D1185" i="1"/>
  <c r="D1219" i="1"/>
  <c r="D459" i="1"/>
  <c r="C777" i="1"/>
  <c r="D777" i="1"/>
  <c r="D1220" i="1"/>
  <c r="C181" i="1"/>
  <c r="D181" i="1"/>
  <c r="D1688" i="1"/>
  <c r="D1742" i="1"/>
  <c r="D1049" i="1"/>
  <c r="D1125" i="1"/>
  <c r="D488" i="1"/>
  <c r="D1490" i="1"/>
  <c r="D1491" i="1"/>
  <c r="D1492" i="1"/>
  <c r="C882" i="1"/>
  <c r="D882" i="1"/>
  <c r="C883" i="1"/>
  <c r="D883" i="1"/>
  <c r="C346" i="1"/>
  <c r="D346" i="1"/>
  <c r="C400" i="1"/>
  <c r="D400" i="1"/>
  <c r="D78" i="1"/>
  <c r="D1661" i="1"/>
  <c r="D1309" i="1"/>
  <c r="D1227" i="1"/>
  <c r="D616" i="1"/>
  <c r="D1065" i="1"/>
  <c r="D493" i="1"/>
  <c r="D115" i="1"/>
  <c r="D1669" i="1"/>
  <c r="C528" i="1"/>
  <c r="D528" i="1"/>
  <c r="C225" i="1"/>
  <c r="D225" i="1"/>
  <c r="D1589" i="1"/>
  <c r="C850" i="1"/>
  <c r="D850" i="1"/>
  <c r="C851" i="1"/>
  <c r="D851" i="1"/>
  <c r="D4" i="1"/>
  <c r="D1050" i="1"/>
  <c r="D1697" i="1"/>
  <c r="D1367" i="1"/>
  <c r="D671" i="1"/>
  <c r="D1493" i="1"/>
  <c r="D1577" i="1"/>
  <c r="D811" i="1"/>
  <c r="D1312" i="1"/>
  <c r="D888" i="1"/>
  <c r="D348" i="1"/>
  <c r="C232" i="1"/>
  <c r="D232" i="1"/>
  <c r="D1066" i="1"/>
  <c r="D495" i="1"/>
  <c r="C816" i="1"/>
  <c r="D816" i="1"/>
  <c r="D1056" i="1"/>
  <c r="D891" i="1"/>
  <c r="C494" i="1"/>
  <c r="D494" i="1"/>
  <c r="D615" i="1"/>
  <c r="D1578" i="1"/>
  <c r="D674" i="1"/>
  <c r="C1282" i="1"/>
  <c r="D1282" i="1"/>
  <c r="C238" i="1"/>
  <c r="D238" i="1"/>
  <c r="D525" i="1"/>
  <c r="C6" i="1"/>
  <c r="D6" i="1"/>
  <c r="C1266" i="1"/>
  <c r="D1266" i="1"/>
  <c r="C1514" i="1"/>
  <c r="D1514" i="1"/>
  <c r="C280" i="1"/>
  <c r="D280" i="1"/>
  <c r="D617" i="1"/>
  <c r="C867" i="1"/>
  <c r="D867" i="1"/>
  <c r="C1275" i="1"/>
  <c r="D1275" i="1"/>
  <c r="D347" i="1"/>
  <c r="D1370" i="1"/>
  <c r="C385" i="1"/>
  <c r="D385" i="1"/>
  <c r="D1057" i="1"/>
  <c r="D675" i="1"/>
  <c r="D1573" i="1"/>
  <c r="C1297" i="1"/>
  <c r="D1297" i="1"/>
  <c r="C1512" i="1"/>
  <c r="D1512" i="1"/>
  <c r="D17" i="1"/>
  <c r="C55" i="1"/>
  <c r="D55" i="1"/>
  <c r="D775" i="1"/>
  <c r="D1058" i="1"/>
  <c r="D618" i="1"/>
  <c r="D38" i="1"/>
  <c r="C287" i="1"/>
  <c r="D287" i="1"/>
  <c r="D682" i="1"/>
  <c r="D1580" i="1"/>
  <c r="D1581" i="1"/>
  <c r="C1313" i="1"/>
  <c r="D1313" i="1"/>
  <c r="D637" i="1"/>
  <c r="D1092" i="1"/>
  <c r="D326" i="1"/>
  <c r="C1511" i="1"/>
  <c r="D1511" i="1"/>
  <c r="C504" i="1"/>
  <c r="D504" i="1"/>
  <c r="C818" i="1"/>
  <c r="D818" i="1"/>
  <c r="D1228" i="1"/>
  <c r="D1372" i="1"/>
  <c r="D1073" i="1"/>
  <c r="D1074" i="1"/>
  <c r="D1075" i="1"/>
  <c r="C831" i="1"/>
  <c r="D831" i="1"/>
  <c r="D1229" i="1"/>
  <c r="C507" i="1"/>
  <c r="D507" i="1"/>
  <c r="D778" i="1"/>
  <c r="D1712" i="1"/>
  <c r="D1230" i="1"/>
  <c r="C559" i="1"/>
  <c r="D559" i="1"/>
  <c r="D1188" i="1"/>
  <c r="D151" i="1"/>
  <c r="D118" i="1"/>
  <c r="C329" i="1"/>
  <c r="D329" i="1"/>
  <c r="C207" i="1"/>
  <c r="D207" i="1"/>
  <c r="D1582" i="1"/>
  <c r="D1373" i="1"/>
  <c r="D1374" i="1"/>
  <c r="D767" i="1"/>
  <c r="C857" i="1"/>
  <c r="D857" i="1"/>
  <c r="C266" i="1"/>
  <c r="D266" i="1"/>
  <c r="D121" i="1"/>
  <c r="C864" i="1"/>
  <c r="D864" i="1"/>
  <c r="C234" i="1"/>
  <c r="D234" i="1"/>
  <c r="D1232" i="1"/>
  <c r="D1233" i="1"/>
  <c r="D464" i="1"/>
  <c r="D465" i="1"/>
  <c r="D1103" i="1"/>
  <c r="D145" i="1"/>
  <c r="C868" i="1"/>
  <c r="D868" i="1"/>
  <c r="D1093" i="1"/>
  <c r="D693" i="1"/>
  <c r="D1159" i="1"/>
  <c r="C1518" i="1"/>
  <c r="D1518" i="1"/>
  <c r="D1079" i="1"/>
  <c r="D801" i="1"/>
  <c r="D802" i="1"/>
  <c r="D834" i="1"/>
  <c r="C301" i="1"/>
  <c r="D301" i="1"/>
  <c r="C389" i="1"/>
  <c r="D389" i="1"/>
  <c r="D710" i="1"/>
  <c r="D679" i="1"/>
  <c r="D1456" i="1"/>
  <c r="C776" i="1"/>
  <c r="D776" i="1"/>
  <c r="D197" i="1"/>
  <c r="D1708" i="1"/>
  <c r="D1304" i="1"/>
  <c r="D1419" i="1"/>
  <c r="C536" i="1"/>
  <c r="D536" i="1"/>
  <c r="D1416" i="1"/>
  <c r="D182" i="1"/>
  <c r="C531" i="1"/>
  <c r="D531" i="1"/>
  <c r="D1590" i="1"/>
  <c r="C1664" i="1"/>
  <c r="D1664" i="1"/>
  <c r="C1464" i="1"/>
  <c r="D1464" i="1"/>
  <c r="C412" i="1"/>
  <c r="D412" i="1"/>
  <c r="D1584" i="1"/>
  <c r="C180" i="1"/>
  <c r="D180" i="1"/>
  <c r="C277" i="1"/>
  <c r="D277" i="1"/>
  <c r="C305" i="1"/>
  <c r="D305" i="1"/>
  <c r="C1186" i="1"/>
  <c r="D1186" i="1"/>
  <c r="C1323" i="1"/>
  <c r="D1323" i="1"/>
  <c r="C1324" i="1"/>
  <c r="D1324" i="1"/>
  <c r="D621" i="1"/>
  <c r="D1542" i="1"/>
  <c r="C691" i="1"/>
  <c r="D691" i="1"/>
  <c r="D56" i="1"/>
  <c r="C62" i="1"/>
  <c r="D62" i="1"/>
  <c r="D1423" i="1"/>
  <c r="D1089" i="1"/>
  <c r="D638" i="1"/>
  <c r="D157" i="1"/>
  <c r="C332" i="1"/>
  <c r="D332" i="1"/>
  <c r="D769" i="1"/>
  <c r="D1189" i="1"/>
  <c r="D304" i="1"/>
  <c r="D955" i="1"/>
  <c r="D911" i="1"/>
  <c r="D41" i="1"/>
  <c r="D522" i="1"/>
  <c r="D1381" i="1"/>
  <c r="D508" i="1"/>
  <c r="D1743" i="1"/>
  <c r="D1378" i="1"/>
  <c r="D859" i="1"/>
  <c r="D1122" i="1"/>
  <c r="C407" i="1"/>
  <c r="D407" i="1"/>
  <c r="D651" i="1"/>
  <c r="D279" i="1"/>
  <c r="D33" i="1"/>
  <c r="D174" i="1"/>
  <c r="D274" i="1"/>
  <c r="D123" i="1"/>
  <c r="D330" i="1"/>
  <c r="D1769" i="1"/>
  <c r="D392" i="1"/>
  <c r="D418" i="1"/>
  <c r="D1571" i="1"/>
  <c r="D294" i="1"/>
  <c r="D1740" i="1"/>
  <c r="D1235" i="1"/>
  <c r="D524" i="1"/>
  <c r="D289" i="1"/>
  <c r="D1095" i="1"/>
  <c r="D1051" i="1"/>
  <c r="D1417" i="1"/>
  <c r="D1069" i="1"/>
  <c r="D1466" i="1"/>
  <c r="D99" i="1"/>
  <c r="C1480" i="1"/>
  <c r="D1480" i="1"/>
  <c r="C262" i="1"/>
  <c r="D262" i="1"/>
  <c r="C1175" i="1"/>
  <c r="D1175" i="1"/>
  <c r="D745" i="1"/>
  <c r="D227" i="1"/>
  <c r="D1052" i="1"/>
  <c r="D917" i="1"/>
  <c r="D1703" i="1"/>
  <c r="D489" i="1"/>
  <c r="D639" i="1"/>
  <c r="D1329" i="1"/>
  <c r="D1699" i="1"/>
  <c r="D161" i="1"/>
  <c r="D490" i="1"/>
  <c r="D934" i="1"/>
  <c r="D361" i="1"/>
  <c r="D362" i="1"/>
  <c r="D805" i="1"/>
  <c r="D430" i="1"/>
  <c r="D517" i="1"/>
  <c r="D420" i="1"/>
  <c r="C699" i="1"/>
  <c r="D699" i="1"/>
  <c r="C1161" i="1"/>
  <c r="D1161" i="1"/>
  <c r="D1205" i="1"/>
  <c r="C560" i="1"/>
  <c r="D560" i="1"/>
  <c r="C1498" i="1"/>
  <c r="D1498" i="1"/>
  <c r="C580" i="1"/>
  <c r="D580" i="1"/>
  <c r="D708" i="1"/>
  <c r="D937" i="1"/>
  <c r="D1536" i="1"/>
  <c r="C1614" i="1"/>
  <c r="D1614" i="1"/>
  <c r="D979" i="1"/>
  <c r="D511" i="1"/>
  <c r="D940" i="1"/>
  <c r="D1332" i="1"/>
  <c r="D1333" i="1"/>
  <c r="D852" i="1"/>
  <c r="D853" i="1"/>
  <c r="D942" i="1"/>
  <c r="D875" i="1"/>
  <c r="D82" i="1"/>
  <c r="D1517" i="1"/>
  <c r="C845" i="1"/>
  <c r="D845" i="1"/>
  <c r="D1335" i="1"/>
  <c r="D860" i="1"/>
  <c r="D944" i="1"/>
  <c r="C345" i="1"/>
  <c r="D345" i="1"/>
  <c r="D1336" i="1"/>
  <c r="C1720" i="1"/>
  <c r="D1720" i="1"/>
  <c r="D427" i="1"/>
  <c r="C543" i="1"/>
  <c r="D543" i="1"/>
  <c r="C499" i="1"/>
  <c r="D499" i="1"/>
  <c r="D1757" i="1"/>
  <c r="D124" i="1"/>
  <c r="D206" i="1"/>
  <c r="D948" i="1"/>
  <c r="D224" i="1"/>
  <c r="D654" i="1"/>
  <c r="D1432" i="1"/>
  <c r="D1315" i="1"/>
  <c r="D1424" i="1"/>
  <c r="D949" i="1"/>
  <c r="D828" i="1"/>
  <c r="D1173" i="1"/>
  <c r="D27" i="1"/>
  <c r="C846" i="1"/>
  <c r="D846" i="1"/>
  <c r="D429" i="1"/>
  <c r="D959" i="1"/>
  <c r="D785" i="1"/>
  <c r="D761" i="1"/>
  <c r="D1338" i="1"/>
  <c r="D491" i="1"/>
  <c r="D910" i="1"/>
  <c r="D142" i="1"/>
  <c r="C176" i="1"/>
  <c r="D176" i="1"/>
  <c r="D1339" i="1"/>
  <c r="C1470" i="1"/>
  <c r="D1470" i="1"/>
  <c r="D763" i="1"/>
  <c r="D764" i="1"/>
  <c r="D965" i="1"/>
  <c r="C829" i="1"/>
  <c r="D829" i="1"/>
  <c r="D1629" i="1"/>
  <c r="D216" i="1"/>
  <c r="C295" i="1"/>
  <c r="D295" i="1"/>
  <c r="D640" i="1"/>
  <c r="D968" i="1"/>
  <c r="D969" i="1"/>
  <c r="C252" i="1"/>
  <c r="D252" i="1"/>
  <c r="D787" i="1"/>
  <c r="D970" i="1"/>
  <c r="D40" i="1"/>
  <c r="C1130" i="1"/>
  <c r="D1130" i="1"/>
  <c r="D16" i="1"/>
  <c r="D296" i="1"/>
  <c r="D980" i="1"/>
  <c r="D981" i="1"/>
  <c r="C583" i="1"/>
  <c r="D583" i="1"/>
  <c r="D1440" i="1"/>
  <c r="D136" i="1"/>
  <c r="C515" i="1"/>
  <c r="D515" i="1"/>
  <c r="C1597" i="1"/>
  <c r="D1597" i="1"/>
  <c r="C273" i="1"/>
  <c r="D273" i="1"/>
  <c r="D1385" i="1"/>
  <c r="D66" i="1"/>
  <c r="C254" i="1"/>
  <c r="D254" i="1"/>
  <c r="C1108" i="1"/>
  <c r="D1108" i="1"/>
  <c r="D73" i="1"/>
  <c r="D129" i="1"/>
  <c r="D585" i="1"/>
  <c r="D780" i="1"/>
  <c r="D1241" i="1"/>
  <c r="C586" i="1"/>
  <c r="D586" i="1"/>
  <c r="C243" i="1"/>
  <c r="D243" i="1"/>
  <c r="C239" i="1"/>
  <c r="D239" i="1"/>
  <c r="D990" i="1"/>
  <c r="D1198" i="1"/>
  <c r="D1543" i="1"/>
  <c r="D179" i="1"/>
  <c r="D707" i="1"/>
  <c r="D1544" i="1"/>
  <c r="C713" i="1"/>
  <c r="D713" i="1"/>
  <c r="C1280" i="1"/>
  <c r="D1280" i="1"/>
  <c r="D1053" i="1"/>
  <c r="D1054" i="1"/>
  <c r="D1258" i="1"/>
  <c r="C53" i="1"/>
  <c r="D53" i="1"/>
  <c r="D719" i="1"/>
  <c r="C1733" i="1"/>
  <c r="D1733" i="1"/>
  <c r="D1572" i="1"/>
  <c r="C384" i="1"/>
  <c r="D384" i="1"/>
  <c r="D1099" i="1"/>
  <c r="C1187" i="1"/>
  <c r="D1187" i="1"/>
  <c r="D1755" i="1"/>
  <c r="D172" i="1"/>
  <c r="D281" i="1"/>
  <c r="D1368" i="1"/>
  <c r="D1574" i="1"/>
  <c r="C263" i="1"/>
  <c r="D263" i="1"/>
  <c r="C824" i="1"/>
  <c r="D824" i="1"/>
  <c r="D1575" i="1"/>
  <c r="C406" i="1"/>
  <c r="D406" i="1"/>
  <c r="C339" i="1"/>
  <c r="D339" i="1"/>
  <c r="C1115" i="1"/>
  <c r="D1115" i="1"/>
  <c r="D461" i="1"/>
  <c r="D680" i="1"/>
  <c r="D1259" i="1"/>
  <c r="C809" i="1"/>
  <c r="D809" i="1"/>
  <c r="D1696" i="1"/>
  <c r="D323" i="1"/>
  <c r="D1579" i="1"/>
  <c r="C725" i="1"/>
  <c r="D725" i="1"/>
  <c r="D1067" i="1"/>
  <c r="D1224" i="1"/>
  <c r="D1070" i="1"/>
  <c r="D1505" i="1"/>
  <c r="D1071" i="1"/>
  <c r="C1659" i="1"/>
  <c r="D1659" i="1"/>
  <c r="C265" i="1"/>
  <c r="D265" i="1"/>
  <c r="D872" i="1"/>
  <c r="C858" i="1"/>
  <c r="D858" i="1"/>
  <c r="D1751" i="1"/>
  <c r="D1076" i="1"/>
  <c r="D1077" i="1"/>
  <c r="D119" i="1"/>
  <c r="C516" i="1"/>
  <c r="D516" i="1"/>
  <c r="C302" i="1"/>
  <c r="D302" i="1"/>
  <c r="D245" i="1"/>
  <c r="D1068" i="1"/>
  <c r="C832" i="1"/>
  <c r="D832" i="1"/>
  <c r="D76" i="1"/>
  <c r="D1420" i="1"/>
  <c r="D122" i="1"/>
  <c r="C10" i="1"/>
  <c r="D10" i="1"/>
  <c r="C9" i="1"/>
  <c r="D9" i="1"/>
  <c r="C1430" i="1"/>
  <c r="D1430" i="1"/>
  <c r="D36" i="1"/>
  <c r="C873" i="1"/>
  <c r="D873" i="1"/>
  <c r="D1377" i="1"/>
  <c r="D1087" i="1"/>
  <c r="D1585" i="1"/>
  <c r="D849" i="1"/>
  <c r="C1138" i="1"/>
  <c r="D1138" i="1"/>
  <c r="D153" i="1"/>
  <c r="D696" i="1"/>
  <c r="C694" i="1"/>
  <c r="D694" i="1"/>
  <c r="D1380" i="1"/>
  <c r="D213" i="1"/>
  <c r="D916" i="1"/>
  <c r="D247" i="1"/>
  <c r="C267" i="1"/>
  <c r="D267" i="1"/>
  <c r="D415" i="1"/>
  <c r="D1613" i="1"/>
  <c r="C1118" i="1"/>
  <c r="D1118" i="1"/>
  <c r="D355" i="1"/>
  <c r="D293" i="1"/>
  <c r="D1237" i="1"/>
  <c r="D514" i="1"/>
  <c r="D570" i="1"/>
  <c r="D1327" i="1"/>
  <c r="D356" i="1"/>
  <c r="D571" i="1"/>
  <c r="D918" i="1"/>
  <c r="D919" i="1"/>
  <c r="D333" i="1"/>
  <c r="D920" i="1"/>
  <c r="D1533" i="1"/>
  <c r="D1328" i="1"/>
  <c r="D779" i="1"/>
  <c r="D921" i="1"/>
  <c r="D700" i="1"/>
  <c r="D140" i="1"/>
  <c r="D416" i="1"/>
  <c r="D1382" i="1"/>
  <c r="D541" i="1"/>
  <c r="D1383" i="1"/>
  <c r="D923" i="1"/>
  <c r="D391" i="1"/>
  <c r="D756" i="1"/>
  <c r="D706" i="1"/>
  <c r="C1129" i="1"/>
  <c r="D1129" i="1"/>
  <c r="C1160" i="1"/>
  <c r="D1160" i="1"/>
  <c r="D357" i="1"/>
  <c r="D1171" i="1"/>
  <c r="D1321" i="1"/>
  <c r="D924" i="1"/>
  <c r="D80" i="1"/>
  <c r="D526" i="1"/>
  <c r="D925" i="1"/>
  <c r="D874" i="1"/>
  <c r="D926" i="1"/>
  <c r="D808" i="1"/>
  <c r="D358" i="1"/>
  <c r="D1107" i="1"/>
  <c r="D343" i="1"/>
  <c r="D870" i="1"/>
  <c r="D1535" i="1"/>
  <c r="D1690" i="1"/>
  <c r="D929" i="1"/>
  <c r="D81" i="1"/>
  <c r="D18" i="1"/>
  <c r="D527" i="1"/>
  <c r="D419" i="1"/>
  <c r="D1236" i="1"/>
  <c r="D783" i="1"/>
  <c r="D827" i="1"/>
  <c r="D349" i="1"/>
  <c r="C359" i="1"/>
  <c r="D359" i="1"/>
  <c r="D931" i="1"/>
  <c r="D757" i="1"/>
  <c r="D833" i="1"/>
  <c r="C684" i="1"/>
  <c r="D684" i="1"/>
  <c r="D1192" i="1"/>
  <c r="D501" i="1"/>
  <c r="C350" i="1"/>
  <c r="D350" i="1"/>
  <c r="C351" i="1"/>
  <c r="D351" i="1"/>
  <c r="C352" i="1"/>
  <c r="D352" i="1"/>
  <c r="D631" i="1"/>
  <c r="D932" i="1"/>
  <c r="D61" i="1"/>
  <c r="C1595" i="1"/>
  <c r="D1595" i="1"/>
  <c r="D784" i="1"/>
  <c r="D578" i="1"/>
  <c r="C1594" i="1"/>
  <c r="D1594" i="1"/>
  <c r="D1330" i="1"/>
  <c r="D652" i="1"/>
  <c r="D1090" i="1"/>
  <c r="C1318" i="1"/>
  <c r="D1318" i="1"/>
  <c r="D1675" i="1"/>
  <c r="D1193" i="1"/>
  <c r="C248" i="1"/>
  <c r="D248" i="1"/>
  <c r="D1311" i="1"/>
  <c r="D1091" i="1"/>
  <c r="D938" i="1"/>
  <c r="D653" i="1"/>
  <c r="D907" i="1"/>
  <c r="D311" i="1"/>
  <c r="D1331" i="1"/>
  <c r="D939" i="1"/>
  <c r="D941" i="1"/>
  <c r="D1334" i="1"/>
  <c r="D421" i="1"/>
  <c r="D836" i="1"/>
  <c r="D422" i="1"/>
  <c r="D423" i="1"/>
  <c r="D424" i="1"/>
  <c r="D425" i="1"/>
  <c r="D426" i="1"/>
  <c r="D758" i="1"/>
  <c r="D1475" i="1"/>
  <c r="D214" i="1"/>
  <c r="D1431" i="1"/>
  <c r="D759" i="1"/>
  <c r="D199" i="1"/>
  <c r="D1319" i="1"/>
  <c r="D945" i="1"/>
  <c r="D581" i="1"/>
  <c r="D353" i="1"/>
  <c r="D1625" i="1"/>
  <c r="D314" i="1"/>
  <c r="D1102" i="1"/>
  <c r="D83" i="1"/>
  <c r="D946" i="1"/>
  <c r="D884" i="1"/>
  <c r="D141" i="1"/>
  <c r="C249" i="1"/>
  <c r="D249" i="1"/>
  <c r="D544" i="1"/>
  <c r="D760" i="1"/>
  <c r="D26" i="1"/>
  <c r="D428" i="1"/>
  <c r="D64" i="1"/>
  <c r="D956" i="1"/>
  <c r="D1194" i="1"/>
  <c r="D950" i="1"/>
  <c r="D1626" i="1"/>
  <c r="C1687" i="1"/>
  <c r="D1687" i="1"/>
  <c r="D951" i="1"/>
  <c r="C826" i="1"/>
  <c r="D826" i="1"/>
  <c r="D952" i="1"/>
  <c r="D1615" i="1"/>
  <c r="C1133" i="1"/>
  <c r="D1133" i="1"/>
  <c r="D1627" i="1"/>
  <c r="D655" i="1"/>
  <c r="C753" i="1"/>
  <c r="D753" i="1"/>
  <c r="D957" i="1"/>
  <c r="D958" i="1"/>
  <c r="C821" i="1"/>
  <c r="D821" i="1"/>
  <c r="D1337" i="1"/>
  <c r="D363" i="1"/>
  <c r="D960" i="1"/>
  <c r="D961" i="1"/>
  <c r="C250" i="1"/>
  <c r="D250" i="1"/>
  <c r="D1628" i="1"/>
  <c r="D1537" i="1"/>
  <c r="C861" i="1"/>
  <c r="D861" i="1"/>
  <c r="D1195" i="1"/>
  <c r="C1509" i="1"/>
  <c r="D1509" i="1"/>
  <c r="D1538" i="1"/>
  <c r="D1524" i="1"/>
  <c r="D143" i="1"/>
  <c r="D144" i="1"/>
  <c r="D1433" i="1"/>
  <c r="D1434" i="1"/>
  <c r="D1435" i="1"/>
  <c r="D1436" i="1"/>
  <c r="D1437" i="1"/>
  <c r="D1438" i="1"/>
  <c r="D275" i="1"/>
  <c r="D962" i="1"/>
  <c r="C510" i="1"/>
  <c r="D510" i="1"/>
  <c r="C1117" i="1"/>
  <c r="D1117" i="1"/>
  <c r="D3" i="1"/>
  <c r="D1540" i="1"/>
  <c r="D1384" i="1"/>
  <c r="C364" i="1"/>
  <c r="D364" i="1"/>
  <c r="D762" i="1"/>
  <c r="C251" i="1"/>
  <c r="D251" i="1"/>
  <c r="D943" i="1"/>
  <c r="D963" i="1"/>
  <c r="D964" i="1"/>
  <c r="D966" i="1"/>
  <c r="D967" i="1"/>
  <c r="D786" i="1"/>
  <c r="D1610" i="1"/>
  <c r="D1749" i="1"/>
  <c r="D497" i="1"/>
  <c r="D737" i="1"/>
  <c r="D1744" i="1"/>
  <c r="C1426" i="1"/>
  <c r="D1426" i="1"/>
  <c r="C1425" i="1"/>
  <c r="D1425" i="1"/>
  <c r="C365" i="1"/>
  <c r="D365" i="1"/>
  <c r="C366" i="1"/>
  <c r="D366" i="1"/>
  <c r="D974" i="1"/>
  <c r="C404" i="1"/>
  <c r="D404" i="1"/>
  <c r="D1196" i="1"/>
  <c r="D582" i="1"/>
  <c r="D971" i="1"/>
  <c r="D972" i="1"/>
  <c r="C253" i="1"/>
  <c r="D253" i="1"/>
  <c r="D788" i="1"/>
  <c r="D1704" i="1"/>
  <c r="D1689" i="1"/>
  <c r="D1238" i="1"/>
  <c r="D975" i="1"/>
  <c r="D976" i="1"/>
  <c r="D1239" i="1"/>
  <c r="D977" i="1"/>
  <c r="C241" i="1"/>
  <c r="D241" i="1"/>
  <c r="C367" i="1"/>
  <c r="D367" i="1"/>
  <c r="D726" i="1"/>
  <c r="D982" i="1"/>
  <c r="D131" i="1"/>
  <c r="D1386" i="1"/>
  <c r="C1728" i="1"/>
  <c r="D1728" i="1"/>
  <c r="D897" i="1"/>
  <c r="D43" i="1"/>
  <c r="C204" i="1"/>
  <c r="D204" i="1"/>
  <c r="D473" i="1"/>
  <c r="D474" i="1"/>
  <c r="D656" i="1"/>
  <c r="D978" i="1"/>
  <c r="D1112" i="1"/>
  <c r="D291" i="1"/>
  <c r="D57" i="1"/>
  <c r="D432" i="1"/>
  <c r="D433" i="1"/>
  <c r="D983" i="1"/>
  <c r="D1240" i="1"/>
  <c r="D984" i="1"/>
  <c r="D985" i="1"/>
  <c r="D584" i="1"/>
  <c r="C185" i="1"/>
  <c r="D185" i="1"/>
  <c r="D986" i="1"/>
  <c r="D434" i="1"/>
  <c r="D1155" i="1"/>
  <c r="D789" i="1"/>
  <c r="D65" i="1"/>
  <c r="C1325" i="1"/>
  <c r="D1325" i="1"/>
  <c r="D1197" i="1"/>
  <c r="D1156" i="1"/>
  <c r="D1340" i="1"/>
  <c r="D1341" i="1"/>
  <c r="D1342" i="1"/>
  <c r="D987" i="1"/>
  <c r="D561" i="1"/>
  <c r="D85" i="1"/>
  <c r="D988" i="1"/>
  <c r="C1477" i="1"/>
  <c r="D1477" i="1"/>
  <c r="D1137" i="1"/>
  <c r="D649" i="1"/>
  <c r="C255" i="1"/>
  <c r="D255" i="1"/>
  <c r="D1630" i="1"/>
  <c r="D1631" i="1"/>
  <c r="C1620" i="1"/>
  <c r="D1620" i="1"/>
  <c r="D587" i="1"/>
  <c r="D1684" i="1"/>
  <c r="D1452" i="1"/>
  <c r="D657" i="1"/>
  <c r="D991" i="1"/>
  <c r="D1199" i="1"/>
  <c r="D1759" i="1"/>
  <c r="D729" i="1"/>
  <c r="D992" i="1"/>
  <c r="C386" i="1"/>
  <c r="D386" i="1"/>
  <c r="C1132" i="1"/>
  <c r="D1132" i="1"/>
  <c r="D989" i="1"/>
  <c r="C906" i="1"/>
  <c r="D906" i="1"/>
  <c r="C530" i="1"/>
  <c r="D530" i="1"/>
  <c r="D1369" i="1"/>
  <c r="D310" i="1"/>
  <c r="D1576" i="1"/>
  <c r="D1223" i="1"/>
  <c r="D1059" i="1"/>
  <c r="D1060" i="1"/>
  <c r="D676" i="1"/>
  <c r="C264" i="1"/>
  <c r="D264" i="1"/>
  <c r="D681" i="1"/>
  <c r="D754" i="1"/>
  <c r="D1061" i="1"/>
  <c r="D220" i="1"/>
  <c r="D1766" i="1"/>
  <c r="C1611" i="1"/>
  <c r="D1611" i="1"/>
  <c r="D1126" i="1"/>
  <c r="D1062" i="1"/>
  <c r="D1063" i="1"/>
  <c r="D117" i="1"/>
  <c r="D1320" i="1"/>
  <c r="D1711" i="1"/>
  <c r="C506" i="1"/>
  <c r="D506" i="1"/>
  <c r="D1064" i="1"/>
  <c r="D1767" i="1"/>
  <c r="D221" i="1"/>
  <c r="C1719" i="1"/>
  <c r="D1719" i="1"/>
  <c r="C1469" i="1"/>
  <c r="D1469" i="1"/>
  <c r="C285" i="1"/>
  <c r="D285" i="1"/>
  <c r="C286" i="1"/>
  <c r="D286" i="1"/>
  <c r="D1371" i="1"/>
  <c r="D747" i="1"/>
  <c r="C354" i="1"/>
  <c r="D354" i="1"/>
  <c r="D201" i="1"/>
  <c r="D35" i="1"/>
  <c r="D709" i="1"/>
  <c r="D677" i="1"/>
  <c r="D1652" i="1"/>
  <c r="D1072" i="1"/>
  <c r="D1225" i="1"/>
  <c r="D812" i="1"/>
  <c r="D678" i="1"/>
  <c r="D1226" i="1"/>
  <c r="D1260" i="1"/>
  <c r="D1261" i="1"/>
  <c r="C520" i="1"/>
  <c r="D520" i="1"/>
  <c r="D619" i="1"/>
  <c r="D1653" i="1"/>
  <c r="C387" i="1"/>
  <c r="D387" i="1"/>
  <c r="D1231" i="1"/>
  <c r="D1508" i="1"/>
  <c r="D462" i="1"/>
  <c r="D463" i="1"/>
  <c r="C865" i="1"/>
  <c r="D865" i="1"/>
  <c r="C336" i="1"/>
  <c r="D336" i="1"/>
  <c r="D120" i="1"/>
  <c r="D1094" i="1"/>
  <c r="C300" i="1"/>
  <c r="D300" i="1"/>
  <c r="D1583" i="1"/>
  <c r="C1429" i="1"/>
  <c r="D1429" i="1"/>
  <c r="D1078" i="1"/>
  <c r="C1734" i="1"/>
  <c r="D1734" i="1"/>
  <c r="D1701" i="1"/>
  <c r="C344" i="1"/>
  <c r="D344" i="1"/>
  <c r="C1135" i="1"/>
  <c r="D1135" i="1"/>
  <c r="D1080" i="1"/>
  <c r="D1375" i="1"/>
  <c r="D1081" i="1"/>
  <c r="C1754" i="1"/>
  <c r="D1754" i="1"/>
  <c r="D236" i="1"/>
  <c r="C388" i="1"/>
  <c r="D388" i="1"/>
  <c r="D466" i="1"/>
  <c r="D467" i="1"/>
  <c r="C773" i="1"/>
  <c r="D773" i="1"/>
  <c r="D1104" i="1"/>
  <c r="D1376" i="1"/>
  <c r="C913" i="1"/>
  <c r="D913" i="1"/>
  <c r="D1702" i="1"/>
  <c r="D1234" i="1"/>
  <c r="D1084" i="1"/>
  <c r="D152" i="1"/>
  <c r="D72" i="1"/>
  <c r="D620" i="1"/>
  <c r="D768" i="1"/>
  <c r="D1085" i="1"/>
  <c r="D672" i="1"/>
  <c r="D1262" i="1"/>
  <c r="D1086" i="1"/>
  <c r="D803" i="1"/>
  <c r="C390" i="1"/>
  <c r="D390" i="1"/>
  <c r="D198" i="1"/>
  <c r="D1586" i="1"/>
  <c r="D1453" i="1"/>
  <c r="D195" i="1"/>
  <c r="D338" i="1"/>
  <c r="C223" i="1"/>
  <c r="D223" i="1"/>
  <c r="D405" i="1"/>
  <c r="D196" i="1"/>
  <c r="C235" i="1"/>
  <c r="D235" i="1"/>
  <c r="C1674" i="1"/>
  <c r="D1674" i="1"/>
  <c r="D29" i="1"/>
  <c r="D200" i="1"/>
  <c r="C282" i="1"/>
  <c r="D282" i="1"/>
  <c r="D49" i="1"/>
  <c r="D50" i="1"/>
  <c r="C702" i="1"/>
  <c r="D702" i="1"/>
  <c r="D166" i="1"/>
  <c r="C1658" i="1"/>
  <c r="D1658" i="1"/>
  <c r="C1593" i="1"/>
  <c r="D1593" i="1"/>
  <c r="C469" i="1"/>
  <c r="D469" i="1"/>
  <c r="D1221" i="1"/>
  <c r="D318" i="1"/>
  <c r="D1709" i="1"/>
  <c r="D1418" i="1"/>
  <c r="C689" i="1"/>
  <c r="D689" i="1"/>
  <c r="C841" i="1"/>
  <c r="D841" i="1"/>
  <c r="C804" i="1"/>
  <c r="D804" i="1"/>
  <c r="C1147" i="1"/>
  <c r="D1147" i="1"/>
  <c r="C401" i="1"/>
  <c r="D401" i="1"/>
  <c r="D269" i="1"/>
  <c r="D340" i="1"/>
  <c r="C881" i="1"/>
  <c r="D881" i="1"/>
  <c r="C1481" i="1"/>
  <c r="D1481" i="1"/>
  <c r="C1739" i="1"/>
  <c r="D1739" i="1"/>
  <c r="D534" i="1"/>
  <c r="C1747" i="1"/>
  <c r="D1747" i="1"/>
  <c r="D1750" i="1"/>
  <c r="C1293" i="1"/>
  <c r="D1293" i="1"/>
  <c r="D751" i="1"/>
  <c r="C1496" i="1"/>
  <c r="D1496" i="1"/>
  <c r="D219" i="1"/>
  <c r="C686" i="1"/>
  <c r="D686" i="1"/>
  <c r="C648" i="1"/>
  <c r="D648" i="1"/>
  <c r="C1715" i="1"/>
  <c r="D1715" i="1"/>
  <c r="C1290" i="1"/>
  <c r="D1290" i="1"/>
  <c r="C1768" i="1"/>
  <c r="D1768" i="1"/>
  <c r="C1609" i="1"/>
  <c r="D1609" i="1"/>
  <c r="C733" i="1"/>
  <c r="D733" i="1"/>
  <c r="C1284" i="1"/>
  <c r="D1284" i="1"/>
  <c r="D806" i="1"/>
  <c r="D540" i="1"/>
  <c r="D731" i="1"/>
  <c r="C1270" i="1"/>
  <c r="D1270" i="1"/>
  <c r="D1745" i="1"/>
  <c r="D749" i="1"/>
  <c r="C1148" i="1"/>
  <c r="D1148" i="1"/>
  <c r="D1294" i="1"/>
  <c r="D603" i="1"/>
  <c r="C880" i="1"/>
  <c r="D880" i="1"/>
  <c r="C1149" i="1"/>
  <c r="D1149" i="1"/>
  <c r="D698" i="1"/>
  <c r="D1647" i="1"/>
  <c r="D1673" i="1"/>
  <c r="D750" i="1"/>
  <c r="C402" i="1"/>
  <c r="D402" i="1"/>
  <c r="D1271" i="1"/>
  <c r="D604" i="1"/>
  <c r="D1746" i="1"/>
  <c r="C842" i="1"/>
  <c r="D842" i="1"/>
  <c r="C22" i="1"/>
  <c r="D22" i="1"/>
  <c r="D162" i="1"/>
  <c r="C1150" i="1"/>
  <c r="D1150" i="1"/>
  <c r="D1222" i="1"/>
  <c r="D635" i="1"/>
  <c r="D70" i="1"/>
  <c r="D1497" i="1"/>
  <c r="D1616" i="1"/>
  <c r="C403" i="1"/>
  <c r="D403" i="1"/>
  <c r="C1721" i="1"/>
  <c r="D1721" i="1"/>
  <c r="D636" i="1"/>
  <c r="D695" i="1"/>
  <c r="D337" i="1"/>
  <c r="C328" i="1"/>
  <c r="D328" i="1"/>
  <c r="C1151" i="1"/>
  <c r="D1151" i="1"/>
  <c r="D1468" i="1"/>
  <c r="C237" i="1"/>
  <c r="D237" i="1"/>
  <c r="D24" i="1"/>
  <c r="D1471" i="1"/>
  <c r="D25" i="1"/>
  <c r="D730" i="1"/>
  <c r="C1169" i="1"/>
  <c r="D1169" i="1"/>
  <c r="D673" i="1"/>
  <c r="D137" i="1"/>
  <c r="D1256" i="1"/>
  <c r="D156" i="1"/>
  <c r="C1314" i="1"/>
  <c r="D1314" i="1"/>
  <c r="C887" i="1"/>
  <c r="D887" i="1"/>
  <c r="D1648" i="1"/>
  <c r="C1738" i="1"/>
  <c r="D1738" i="1"/>
  <c r="D1660" i="1"/>
  <c r="D1649" i="1"/>
  <c r="C1604" i="1"/>
  <c r="D1604" i="1"/>
  <c r="D1605" i="1"/>
  <c r="C1503" i="1"/>
  <c r="D1503" i="1"/>
  <c r="D460" i="1"/>
  <c r="D1302" i="1"/>
  <c r="C1725" i="1"/>
  <c r="D1725" i="1"/>
  <c r="D703" i="1"/>
  <c r="D484" i="1"/>
  <c r="D683" i="1"/>
  <c r="D410" i="1"/>
  <c r="C895" i="1"/>
  <c r="D895" i="1"/>
  <c r="D903" i="1"/>
  <c r="C553" i="1"/>
  <c r="D553" i="1"/>
  <c r="C542" i="1"/>
  <c r="D542" i="1"/>
  <c r="D308" i="1"/>
  <c r="C863" i="1"/>
  <c r="D863" i="1"/>
  <c r="D822" i="1"/>
  <c r="D848" i="1"/>
  <c r="D1483" i="1"/>
  <c r="C810" i="1"/>
  <c r="D810" i="1"/>
  <c r="D933" i="1"/>
  <c r="C360" i="1"/>
  <c r="D360" i="1"/>
  <c r="D736" i="1"/>
  <c r="C545" i="1"/>
  <c r="D545" i="1"/>
  <c r="D815" i="1"/>
  <c r="D1736" i="1"/>
  <c r="D947" i="1"/>
  <c r="C1141" i="1"/>
  <c r="D1141" i="1"/>
  <c r="D244" i="1"/>
  <c r="D1727" i="1"/>
  <c r="D973" i="1"/>
  <c r="C1292" i="1"/>
  <c r="D1292" i="1"/>
  <c r="D1753" i="1"/>
  <c r="C1142" i="1"/>
  <c r="D1142" i="1"/>
  <c r="C819" i="1"/>
  <c r="D819" i="1"/>
  <c r="D567" i="1"/>
  <c r="C1726" i="1"/>
  <c r="D1726" i="1"/>
  <c r="D1295" i="1"/>
  <c r="C1462" i="1"/>
  <c r="D1462" i="1"/>
  <c r="C1152" i="1"/>
  <c r="D1152" i="1"/>
  <c r="D163" i="1"/>
  <c r="D51" i="1"/>
  <c r="C1685" i="1"/>
  <c r="D1685" i="1"/>
  <c r="C727" i="1"/>
  <c r="D727" i="1"/>
  <c r="D770" i="1"/>
  <c r="C1265" i="1"/>
  <c r="D1265" i="1"/>
  <c r="D1190" i="1"/>
  <c r="D1083" i="1"/>
  <c r="C624" i="1"/>
  <c r="D624" i="1"/>
  <c r="C472" i="1"/>
  <c r="D472" i="1"/>
  <c r="D1088" i="1"/>
  <c r="D1170" i="1"/>
  <c r="D572" i="1"/>
  <c r="D573" i="1"/>
  <c r="D735" i="1"/>
  <c r="D417" i="1"/>
  <c r="D922" i="1"/>
  <c r="D1291" i="1"/>
  <c r="D1534" i="1"/>
  <c r="C728" i="1"/>
  <c r="D728" i="1"/>
  <c r="D1756" i="1"/>
  <c r="D854" i="1"/>
  <c r="D574" i="1"/>
  <c r="D575" i="1"/>
  <c r="D1191" i="1"/>
  <c r="D697" i="1"/>
  <c r="C909" i="1"/>
  <c r="D909" i="1"/>
  <c r="D576" i="1"/>
  <c r="D173" i="1"/>
  <c r="D1698" i="1"/>
  <c r="D577" i="1"/>
  <c r="D928" i="1"/>
  <c r="D927" i="1"/>
  <c r="D930" i="1"/>
  <c r="D1670" i="1"/>
  <c r="D1267" i="1"/>
  <c r="C904" i="1"/>
  <c r="D904" i="1"/>
  <c r="D935" i="1"/>
  <c r="D579" i="1"/>
  <c r="D1770" i="1"/>
  <c r="D936" i="1"/>
  <c r="D1758" i="1"/>
  <c r="D953" i="1"/>
  <c r="D896" i="1"/>
  <c r="D954" i="1"/>
  <c r="D215" i="1"/>
  <c r="D755" i="1"/>
  <c r="D914" i="1"/>
  <c r="C1596" i="1"/>
  <c r="D1596" i="1"/>
  <c r="D1539" i="1"/>
  <c r="C513" i="1"/>
  <c r="D513" i="1"/>
  <c r="C1752" i="1"/>
  <c r="D1752" i="1"/>
  <c r="D533" i="1"/>
  <c r="D1710" i="1"/>
  <c r="C1121" i="1"/>
  <c r="D1121" i="1"/>
  <c r="D898" i="1"/>
  <c r="D84" i="1"/>
  <c r="D1441" i="1"/>
  <c r="D790" i="1"/>
  <c r="C835" i="1"/>
  <c r="D835" i="1"/>
  <c r="D642" i="1"/>
  <c r="D1655" i="1"/>
  <c r="C558" i="1"/>
  <c r="D558" i="1"/>
  <c r="D1273" i="1"/>
  <c r="D1055" i="1"/>
  <c r="C331" i="1"/>
  <c r="D331" i="1"/>
  <c r="D116" i="1"/>
  <c r="D746" i="1"/>
  <c r="C781" i="1"/>
  <c r="D781" i="1"/>
  <c r="C1307" i="1"/>
  <c r="D1307" i="1"/>
  <c r="C284" i="1"/>
  <c r="D284" i="1"/>
  <c r="D1308" i="1"/>
  <c r="D1679" i="1"/>
  <c r="C1718" i="1"/>
  <c r="D1718" i="1"/>
  <c r="C866" i="1"/>
  <c r="D866" i="1"/>
  <c r="D1680" i="1"/>
  <c r="D1082" i="1"/>
  <c r="D1278" i="1"/>
  <c r="C1153" i="1"/>
  <c r="D1153" i="1"/>
  <c r="D1454" i="1"/>
</calcChain>
</file>

<file path=xl/sharedStrings.xml><?xml version="1.0" encoding="utf-8"?>
<sst xmlns="http://schemas.openxmlformats.org/spreadsheetml/2006/main" count="6443" uniqueCount="3102">
  <si>
    <t>氏名</t>
  </si>
  <si>
    <t>勤務先名称</t>
  </si>
  <si>
    <t>勤務先住所</t>
  </si>
  <si>
    <t>勤務先電話番号</t>
  </si>
  <si>
    <t>担当診療科目名</t>
  </si>
  <si>
    <t xml:space="preserve">              </t>
  </si>
  <si>
    <t>内科</t>
  </si>
  <si>
    <t>内科、消化器内科</t>
  </si>
  <si>
    <t>池田ファミリークリニック</t>
  </si>
  <si>
    <t>別當クリニック</t>
  </si>
  <si>
    <t>皮膚科</t>
  </si>
  <si>
    <t>医療法人社団厚仁会　小林内科胃腸科</t>
  </si>
  <si>
    <t>内科・循環器内科</t>
  </si>
  <si>
    <t>医療法人康成会　ほりいクリニック希央台</t>
  </si>
  <si>
    <t>整形外科</t>
  </si>
  <si>
    <t>松村　典彦</t>
  </si>
  <si>
    <t>医療法人康成会　ほりいクリニック</t>
  </si>
  <si>
    <t>堀井　和臣</t>
  </si>
  <si>
    <t>堀井内科</t>
  </si>
  <si>
    <t>内科、呼吸器内科</t>
  </si>
  <si>
    <t>平谷　一人</t>
  </si>
  <si>
    <t>熊野市立荒坂診療所</t>
  </si>
  <si>
    <t>耳鼻いんこう科</t>
  </si>
  <si>
    <t>外科</t>
  </si>
  <si>
    <t>内科、小児科</t>
  </si>
  <si>
    <t>塩谷　拓也</t>
  </si>
  <si>
    <t>鳥羽市立桃取診療所</t>
  </si>
  <si>
    <t>青木記念病院</t>
  </si>
  <si>
    <t>内科、外科</t>
  </si>
  <si>
    <t>内科・小児科</t>
  </si>
  <si>
    <t>内科、胃腸科、リハビリテーション科</t>
  </si>
  <si>
    <t>医療法人社団桑久会　久瀬クリニック</t>
  </si>
  <si>
    <t>越山クリニック</t>
  </si>
  <si>
    <t>内科・循環器科</t>
  </si>
  <si>
    <t>眼科</t>
  </si>
  <si>
    <t>呼吸器内科</t>
  </si>
  <si>
    <t>内科（消化器）</t>
  </si>
  <si>
    <t>胃腸科</t>
  </si>
  <si>
    <t>医療法人清風会あがたクリニック</t>
  </si>
  <si>
    <t>皮膚科・アレルギー科</t>
  </si>
  <si>
    <t>広田クリニック</t>
  </si>
  <si>
    <t>芹の里クリニック</t>
  </si>
  <si>
    <t>内科、心療内科、精神科</t>
  </si>
  <si>
    <t>内科・外科</t>
  </si>
  <si>
    <t>胃腸内科</t>
  </si>
  <si>
    <t>三枝　晋</t>
  </si>
  <si>
    <t>外科・消化器外科</t>
  </si>
  <si>
    <t>医療法人まとかた　まとかた大西クリニック</t>
  </si>
  <si>
    <t>竹市　冬彦</t>
  </si>
  <si>
    <t>ゆり形成内科整形</t>
  </si>
  <si>
    <t>竹市　弥生</t>
  </si>
  <si>
    <t>内科、胃腸科</t>
  </si>
  <si>
    <t>白鳳クリニック</t>
  </si>
  <si>
    <t>鈴鹿市庄野町2550番地</t>
  </si>
  <si>
    <t>花の丘病院</t>
  </si>
  <si>
    <t>内科、循環器科、呼吸器科</t>
  </si>
  <si>
    <t>林医院</t>
  </si>
  <si>
    <t>医療法人（社団）佐藤病院　長島中央病院</t>
  </si>
  <si>
    <t>桑名市長島町福吉271番地</t>
  </si>
  <si>
    <t>消化器外科</t>
  </si>
  <si>
    <t>高木病院</t>
  </si>
  <si>
    <t>鈴鹿市高岡町550</t>
  </si>
  <si>
    <t>形成外科</t>
  </si>
  <si>
    <t>齋藤　洋一</t>
  </si>
  <si>
    <t>南勢病院</t>
  </si>
  <si>
    <t>精神科</t>
  </si>
  <si>
    <t>医療法人社団　山中胃腸科病院</t>
  </si>
  <si>
    <t>みえ医療福祉生協　いくわ診療所</t>
  </si>
  <si>
    <t>医療法人徳新会　四日市徳新会病院</t>
  </si>
  <si>
    <t>耳鼻咽喉科</t>
  </si>
  <si>
    <t>医療法人社団　中村クリニック</t>
  </si>
  <si>
    <t>第一病院</t>
  </si>
  <si>
    <t>医療法人大成会　こむら胃腸内科</t>
  </si>
  <si>
    <t>松阪市船江町471番地の10</t>
  </si>
  <si>
    <t>武藤　菊紀</t>
  </si>
  <si>
    <t>滝川眼科</t>
  </si>
  <si>
    <t>中島医院</t>
  </si>
  <si>
    <t>玉城町国民健康保険玉城病院</t>
  </si>
  <si>
    <t>整形外科・リウマチ科・リハビリテーション科</t>
  </si>
  <si>
    <t>内科、外科、小児科</t>
  </si>
  <si>
    <t>尾鷲総合病院</t>
  </si>
  <si>
    <t>循環器内科</t>
  </si>
  <si>
    <t>三重県立志摩病院</t>
  </si>
  <si>
    <t>志摩市阿児町鵜方1257</t>
  </si>
  <si>
    <t>医療法人社団主体会　主体会病院</t>
  </si>
  <si>
    <t>四日市市城北町8番1号</t>
  </si>
  <si>
    <t>良雪　雅</t>
  </si>
  <si>
    <t>いおうじ応急クリニック</t>
  </si>
  <si>
    <t>丸の内在宅クリニック</t>
  </si>
  <si>
    <t>ありまクリニック</t>
  </si>
  <si>
    <t>須藤　隆夫</t>
  </si>
  <si>
    <t>医療法人博仁会　村瀬病院</t>
  </si>
  <si>
    <t>福西　茂二</t>
  </si>
  <si>
    <t>岩田　次郎</t>
  </si>
  <si>
    <t>医療法人大町会　名張ふくにしクリニック</t>
  </si>
  <si>
    <t>三重県立一志病院</t>
  </si>
  <si>
    <t>津市白山町南家城616</t>
  </si>
  <si>
    <t>コスモスクリニック</t>
  </si>
  <si>
    <t>どんぐり診療所</t>
  </si>
  <si>
    <t>いなべ市大安町石榑下305</t>
  </si>
  <si>
    <t>一般財団法人信貴山病院分院上野病院</t>
  </si>
  <si>
    <t>伊賀市四十九町2888</t>
  </si>
  <si>
    <t>上野内科</t>
  </si>
  <si>
    <t>津市庄田町2090番地</t>
  </si>
  <si>
    <t>医療法人　浅野整形外科内科</t>
  </si>
  <si>
    <t>医療法人　桑名病院</t>
  </si>
  <si>
    <t>消化器内科</t>
  </si>
  <si>
    <t>産婦人科</t>
  </si>
  <si>
    <t>みたき総合病院</t>
  </si>
  <si>
    <t>亀山回生病院</t>
  </si>
  <si>
    <t>三重県厚生農業協同組合連合会　三重北医療センター　いなべ総合病院</t>
  </si>
  <si>
    <t>脳神経外科</t>
  </si>
  <si>
    <t>宮田　良平</t>
  </si>
  <si>
    <t>三重県厚生農業協同組合連合会　鈴鹿中央総合病院</t>
  </si>
  <si>
    <t>三重県厚生農業協同組合連合会　大台厚生病院</t>
  </si>
  <si>
    <t>総合診療科</t>
  </si>
  <si>
    <t>伊勢赤十字病院</t>
  </si>
  <si>
    <t>内科（循環器）</t>
  </si>
  <si>
    <t>北嶋　貴仁</t>
  </si>
  <si>
    <t>松阪市民病院</t>
  </si>
  <si>
    <t>篠原　浩二</t>
  </si>
  <si>
    <t>名張市立病院</t>
  </si>
  <si>
    <t>大桑クリニック</t>
  </si>
  <si>
    <t>腎臓内科</t>
  </si>
  <si>
    <t>三重県厚生農業協同組合連合会　松阪中央総合病院</t>
  </si>
  <si>
    <t>濵口　宣子</t>
  </si>
  <si>
    <t>消化器・肝臓内科</t>
  </si>
  <si>
    <t>北出　卓</t>
  </si>
  <si>
    <t>独立行政法人国立病院機構　三重中央医療センター</t>
  </si>
  <si>
    <t>糖尿病・内分泌内科</t>
  </si>
  <si>
    <t>鈴鹿回生病院</t>
  </si>
  <si>
    <t>脳神経内科</t>
  </si>
  <si>
    <t>津生協病院</t>
  </si>
  <si>
    <t>青木　敏二郎</t>
  </si>
  <si>
    <t>循環器科</t>
  </si>
  <si>
    <t>小児科</t>
  </si>
  <si>
    <t>寺島　美生</t>
  </si>
  <si>
    <t>前田　吉民</t>
  </si>
  <si>
    <t>国民健康保険志摩市民病院</t>
  </si>
  <si>
    <t>英クリニック</t>
  </si>
  <si>
    <t>佐藤　圭</t>
  </si>
  <si>
    <t>社会福祉法人恩賜財団済生会支部三重県済生会明和病院</t>
  </si>
  <si>
    <t>藤川　真二</t>
  </si>
  <si>
    <t>泌尿器科・一般内科</t>
  </si>
  <si>
    <t>医療法人　永井病院</t>
  </si>
  <si>
    <t>内科・消化器内科</t>
  </si>
  <si>
    <t>医療法人社団　整形外科網谷医院</t>
  </si>
  <si>
    <t>整形外科・リハビリテーション科・リウマチ科</t>
  </si>
  <si>
    <t>山本　秀二</t>
  </si>
  <si>
    <t>小山田記念温泉病院</t>
  </si>
  <si>
    <t>林　毅</t>
  </si>
  <si>
    <t>林内科</t>
  </si>
  <si>
    <t>松阪市春日町2丁目8番地の1</t>
  </si>
  <si>
    <t>神経内科、内科</t>
  </si>
  <si>
    <t>小林　武史</t>
  </si>
  <si>
    <t>小林眼科</t>
  </si>
  <si>
    <t>吉峰　順子</t>
  </si>
  <si>
    <t>医療法人崇尚会　よしみね内科胃腸科</t>
  </si>
  <si>
    <t>井上　登仁</t>
  </si>
  <si>
    <t>緑の街医院</t>
  </si>
  <si>
    <t>玉置　政夫</t>
  </si>
  <si>
    <t>玉置眼科</t>
  </si>
  <si>
    <t>梨田　裕志</t>
  </si>
  <si>
    <t>医療法人つばさ　ふじさとこどもクリニック</t>
  </si>
  <si>
    <t>田畑　しおり</t>
  </si>
  <si>
    <t>中条　眞也</t>
  </si>
  <si>
    <t>中條眼科志摩分院</t>
  </si>
  <si>
    <t>志摩市磯部町迫間1803番地</t>
  </si>
  <si>
    <t>馬場　正治</t>
  </si>
  <si>
    <t>土橋　隆志</t>
  </si>
  <si>
    <t>医療法人桑名病院</t>
  </si>
  <si>
    <t>桑名市京橋町30番地</t>
  </si>
  <si>
    <t>武田　守弘</t>
  </si>
  <si>
    <t>医療法人　武田産婦人科</t>
  </si>
  <si>
    <t>名張市鴻之台1番町144番地</t>
  </si>
  <si>
    <t>竹代　章</t>
  </si>
  <si>
    <t>医療法人　竹代クリニック</t>
  </si>
  <si>
    <t>内科、消化器科、呼吸器科、循環器科</t>
  </si>
  <si>
    <t>渡邉　真也</t>
  </si>
  <si>
    <t>医療法人みき会渡辺医院</t>
  </si>
  <si>
    <t>森　一満</t>
  </si>
  <si>
    <t>森眼科医院</t>
  </si>
  <si>
    <t>西井　竜彦</t>
  </si>
  <si>
    <t>西井外科胃腸科</t>
  </si>
  <si>
    <t>紀平　隆行</t>
  </si>
  <si>
    <t>きひら内科消化器科</t>
  </si>
  <si>
    <t>員弁郡東員町山田西畑1761</t>
  </si>
  <si>
    <t>石田　亘宏</t>
  </si>
  <si>
    <t>医療法人石田クリニック</t>
  </si>
  <si>
    <t>松阪市大口町154番地1</t>
  </si>
  <si>
    <t>胃腸内科、外科、内科、肛門外科</t>
  </si>
  <si>
    <t>北大路　浩史</t>
  </si>
  <si>
    <t>北大路眼科</t>
  </si>
  <si>
    <t>石上　陽一</t>
  </si>
  <si>
    <t>いしがみ整形外科</t>
  </si>
  <si>
    <t>整形外科・リハビリテーション科</t>
  </si>
  <si>
    <t>篠塚　徹</t>
  </si>
  <si>
    <t>医療法人ふじ　篠塚小児科</t>
  </si>
  <si>
    <t>鈴木　康弘</t>
  </si>
  <si>
    <t>すずき胃腸肛門クリニック</t>
  </si>
  <si>
    <t>桑名市江場920番地</t>
  </si>
  <si>
    <t>胃腸内科、肛門外科</t>
  </si>
  <si>
    <t>西村　英也</t>
  </si>
  <si>
    <t>ナナワ整形外科</t>
  </si>
  <si>
    <t>宇野　伸郎</t>
  </si>
  <si>
    <t>宇野胃腸内科・脳神経内科</t>
  </si>
  <si>
    <t>佐藤　孝之</t>
  </si>
  <si>
    <t>佐藤内科</t>
  </si>
  <si>
    <t>桑名市福島新町26</t>
  </si>
  <si>
    <t>内科、リウマチ科、呼吸器科</t>
  </si>
  <si>
    <t>奥田　和明</t>
  </si>
  <si>
    <t>おくだ内科クリニック</t>
  </si>
  <si>
    <t>津市上浜町5丁目57番地</t>
  </si>
  <si>
    <t>由井　進太郎</t>
  </si>
  <si>
    <t>由井医院</t>
  </si>
  <si>
    <t>整形外科、リウマチ科</t>
  </si>
  <si>
    <t>泌尿器科</t>
  </si>
  <si>
    <t>田中　孝幸</t>
  </si>
  <si>
    <t>田中クリニック</t>
  </si>
  <si>
    <t>桑名市梅園通35番地1</t>
  </si>
  <si>
    <t>脳神経外科、呼吸器内科、内科、外科、神経内科、リハビリテーション科</t>
  </si>
  <si>
    <t>堀木　照美</t>
  </si>
  <si>
    <t>医療法人恵生会　嬉野医院</t>
  </si>
  <si>
    <t>松阪市嬉野町1425番地の3</t>
  </si>
  <si>
    <t>内科、リウマチ科</t>
  </si>
  <si>
    <t>山森　文平</t>
  </si>
  <si>
    <t>やまもり内科クリニック</t>
  </si>
  <si>
    <t>内科（循環器科）</t>
  </si>
  <si>
    <t>長屋　章三郎</t>
  </si>
  <si>
    <t>ながや内科クリニック</t>
  </si>
  <si>
    <t>清水　啓之</t>
  </si>
  <si>
    <t>清水内科</t>
  </si>
  <si>
    <t>伊勢市神田久志本町1648番地</t>
  </si>
  <si>
    <t>内科、循環器内科</t>
  </si>
  <si>
    <t>鈴木　啓之</t>
  </si>
  <si>
    <t>外宮の杜クリニック</t>
  </si>
  <si>
    <t>伊勢市岡本3丁目14番17号</t>
  </si>
  <si>
    <t>加藤　保司</t>
  </si>
  <si>
    <t>かとうクリニック</t>
  </si>
  <si>
    <t>脳神経内科、内科</t>
  </si>
  <si>
    <t>生駒　次朗</t>
  </si>
  <si>
    <t>みえ消化器内科</t>
  </si>
  <si>
    <t>垣内　雅彦</t>
  </si>
  <si>
    <t>野呂　智仁</t>
  </si>
  <si>
    <t>医療法人エムアンドエム会　野呂医院</t>
  </si>
  <si>
    <t>松阪市小片野町302番地</t>
  </si>
  <si>
    <t>湯浅整形外科</t>
  </si>
  <si>
    <t>成島　知里</t>
  </si>
  <si>
    <t>高橋整形外科　ちさと眼科</t>
  </si>
  <si>
    <t>石原　知明</t>
  </si>
  <si>
    <t>医療法人社団プログレス　四日市消化器病センター</t>
  </si>
  <si>
    <t>四日市市下海老町字高松185番3</t>
  </si>
  <si>
    <t>田野上　光也</t>
  </si>
  <si>
    <t>たのうえ眼科</t>
  </si>
  <si>
    <t>伊藤　益美</t>
  </si>
  <si>
    <t>藤井　英治</t>
  </si>
  <si>
    <t>藤井整形外科クリニック</t>
  </si>
  <si>
    <t>松本　衛</t>
  </si>
  <si>
    <t>伊勢リウマチハンドクリニック</t>
  </si>
  <si>
    <t>リウマチ科、整形外科、リハビリテーション科</t>
  </si>
  <si>
    <t>渡邊　治彦</t>
  </si>
  <si>
    <t>医療法人わたなべ整形外科</t>
  </si>
  <si>
    <t>いなべ市員弁町大泉新田5</t>
  </si>
  <si>
    <t>三木眼科</t>
  </si>
  <si>
    <t>土井　素明</t>
  </si>
  <si>
    <t>野町どい眼科</t>
  </si>
  <si>
    <t>長谷川　浩一</t>
  </si>
  <si>
    <t>長谷川脳神経外科クリニック</t>
  </si>
  <si>
    <t>脳神経外科、神経内科、内科、外科</t>
  </si>
  <si>
    <t>玉田　浩也</t>
  </si>
  <si>
    <t>医療法人CoCoLo玉田内科循環器内科</t>
  </si>
  <si>
    <t>加藤　真史</t>
  </si>
  <si>
    <t>菅井　博哉</t>
  </si>
  <si>
    <t>すがいクリニック</t>
  </si>
  <si>
    <t>桑名市中央町1丁目17番地</t>
  </si>
  <si>
    <t>整形外科、内科、リバビリテーション科、リウマチ科</t>
  </si>
  <si>
    <t>藤田医科大学七栗記念病院</t>
  </si>
  <si>
    <t>リハビリテーション科</t>
  </si>
  <si>
    <t>西浦　耕二</t>
  </si>
  <si>
    <t>にしうら眼科</t>
  </si>
  <si>
    <t>伊賀市平野城北町116</t>
  </si>
  <si>
    <t>世古口　健</t>
  </si>
  <si>
    <t>医療法人 世古口消化器内科なぎさまち診療所</t>
  </si>
  <si>
    <t>津市海岸町4番10号</t>
  </si>
  <si>
    <t>内科、消化器内科、胃腸内科</t>
  </si>
  <si>
    <t>中尾　浩子</t>
  </si>
  <si>
    <t>センター眼科</t>
  </si>
  <si>
    <t>四日市市鵜の森1丁目1番8号</t>
  </si>
  <si>
    <t>西川　英郎</t>
  </si>
  <si>
    <t>三重ハートセンター</t>
  </si>
  <si>
    <t>宮原　眞敏</t>
  </si>
  <si>
    <t>中村　智昭</t>
  </si>
  <si>
    <t>なかむら内科クリニック</t>
  </si>
  <si>
    <t>松阪市鎌田町195番地18</t>
  </si>
  <si>
    <t>森　恵子</t>
  </si>
  <si>
    <t>真鈴川　聡</t>
  </si>
  <si>
    <t>ますずがわ神経内科クリニック</t>
  </si>
  <si>
    <t>積木　秀明</t>
  </si>
  <si>
    <t>医療法人　積木整形外科</t>
  </si>
  <si>
    <t>整形外科、リウマチ科、リハビリテーション科</t>
  </si>
  <si>
    <t>上坂　太祐</t>
  </si>
  <si>
    <t>医療法人　上坂内科</t>
  </si>
  <si>
    <t>呼吸器科</t>
  </si>
  <si>
    <t>豊田　英樹</t>
  </si>
  <si>
    <t>ハッピー胃腸クリニック</t>
  </si>
  <si>
    <t>山添　好宏</t>
  </si>
  <si>
    <t>山添整形外科</t>
  </si>
  <si>
    <t>医療法人　鈴桜会　鈴鹿さくら病院</t>
  </si>
  <si>
    <t>東　泰行</t>
  </si>
  <si>
    <t>ひがし胃腸科内科クリニック</t>
  </si>
  <si>
    <t>胃腸内科,内科,呼吸器内科,循環器内科,アレルギー科,小児科,リハビリテーション科</t>
  </si>
  <si>
    <t>森岡　竜彦</t>
  </si>
  <si>
    <t>森岡皮膚科クリニック</t>
  </si>
  <si>
    <t>島村　公年</t>
  </si>
  <si>
    <t>しまむら外科内科</t>
  </si>
  <si>
    <t>消化器内科・肛門外科</t>
  </si>
  <si>
    <t>駒田　敏之</t>
  </si>
  <si>
    <t>駒田医院</t>
  </si>
  <si>
    <t>内科、小児科、消化器内科</t>
  </si>
  <si>
    <t>上田　裕司</t>
  </si>
  <si>
    <t>上田内科クリニック</t>
  </si>
  <si>
    <t>鈴鹿市長沢町1167番地1</t>
  </si>
  <si>
    <t>内科、循環器科、消化器科、呼吸器科</t>
  </si>
  <si>
    <t>内田　恵一</t>
  </si>
  <si>
    <t>地方独立行政法人　三重県立総合医療センター</t>
  </si>
  <si>
    <t>四日市市大字日永5450番地132</t>
  </si>
  <si>
    <t>小児外科</t>
  </si>
  <si>
    <t>神経内科</t>
  </si>
  <si>
    <t>滝川　純</t>
  </si>
  <si>
    <t>宅間内科</t>
  </si>
  <si>
    <t>瀬戸　正史</t>
  </si>
  <si>
    <t>せと整形外科</t>
  </si>
  <si>
    <t>竹内　文友</t>
  </si>
  <si>
    <t>竹内眼科</t>
  </si>
  <si>
    <t>津市雲出本郷町1905</t>
  </si>
  <si>
    <t>服部　徹</t>
  </si>
  <si>
    <t>服部内科</t>
  </si>
  <si>
    <t>内科、呼吸器科、胃腸科、循環器科</t>
  </si>
  <si>
    <t>中瀬　勉</t>
  </si>
  <si>
    <t>なかせ内科胃腸科</t>
  </si>
  <si>
    <t>高橋　宏明</t>
  </si>
  <si>
    <t>つおき高橋クリニック</t>
  </si>
  <si>
    <t>金子　尚生</t>
  </si>
  <si>
    <t>金子眼科</t>
  </si>
  <si>
    <t>別當　京子</t>
  </si>
  <si>
    <t>杉本　充</t>
  </si>
  <si>
    <t>すぎもと眼科</t>
  </si>
  <si>
    <t>中野　由起子</t>
  </si>
  <si>
    <t>医療法人小野外科　小野外科内科</t>
  </si>
  <si>
    <t>四日市市智積町6333番地</t>
  </si>
  <si>
    <t>清水　由晴</t>
  </si>
  <si>
    <t>医療法人がまの穂会　清水医院</t>
  </si>
  <si>
    <t>皮膚科、アレルギー科</t>
  </si>
  <si>
    <t>植村　和司</t>
  </si>
  <si>
    <t>植村整形外科</t>
  </si>
  <si>
    <t>津市藤方2566</t>
  </si>
  <si>
    <t>服部　靖</t>
  </si>
  <si>
    <t>服部眼科</t>
  </si>
  <si>
    <t>津市栄町2丁目383</t>
  </si>
  <si>
    <t>亀谷　崇</t>
  </si>
  <si>
    <t>伊勢かめや眼科</t>
  </si>
  <si>
    <t>伊勢市神田久志本町1783</t>
  </si>
  <si>
    <t>宮村　直孝</t>
  </si>
  <si>
    <t>宮村眼科</t>
  </si>
  <si>
    <t>松山　真人</t>
  </si>
  <si>
    <t>松山神経内科</t>
  </si>
  <si>
    <t>脇谷　佳克</t>
  </si>
  <si>
    <t>わきたに眼科</t>
  </si>
  <si>
    <t>齋木　浩士</t>
  </si>
  <si>
    <t>医療法人（社団）医心会齋木内科</t>
  </si>
  <si>
    <t>川西　正芳</t>
  </si>
  <si>
    <t>医療法人凰林会　榊原白鳳病院（医科）</t>
  </si>
  <si>
    <t>津市榊原町5630番地</t>
  </si>
  <si>
    <t>阿曽　明子</t>
  </si>
  <si>
    <t>医療法人　あそクリニック</t>
  </si>
  <si>
    <t>内科、消化器内科、小児科</t>
  </si>
  <si>
    <t>齋藤　公正</t>
  </si>
  <si>
    <t>医療法人ＭＳＣ　さいとう内科呼吸器科　三重スリープクリニック</t>
  </si>
  <si>
    <t>伊勢市小俣町相合446</t>
  </si>
  <si>
    <t>中西　哲哉</t>
  </si>
  <si>
    <t>中西医院</t>
  </si>
  <si>
    <t>松阪市魚町1707</t>
  </si>
  <si>
    <t>丹羽　隆史</t>
  </si>
  <si>
    <t>丹羽眼科</t>
  </si>
  <si>
    <t>桑名市三崎通37</t>
  </si>
  <si>
    <t>三原　貴照</t>
  </si>
  <si>
    <t>医療法人社団三原クリニック</t>
  </si>
  <si>
    <t>岩尾　篤</t>
  </si>
  <si>
    <t>岩尾こどもクリニック</t>
  </si>
  <si>
    <t>小児科、アレルギー科、内科</t>
  </si>
  <si>
    <t>福喜多　光志</t>
  </si>
  <si>
    <t>医療法人　福喜多眼科医院</t>
  </si>
  <si>
    <t>松田　正</t>
  </si>
  <si>
    <t>まつだ小児科クリニック</t>
  </si>
  <si>
    <t>桑名市藤が丘九丁目106番地</t>
  </si>
  <si>
    <t>山室　匡史</t>
  </si>
  <si>
    <t>山室内科</t>
  </si>
  <si>
    <t>桑名市多度町小山1875</t>
  </si>
  <si>
    <t>上住　尚志</t>
  </si>
  <si>
    <t>カイバナ眼科クリニック</t>
  </si>
  <si>
    <t>松阪市垣鼻町1638番地21</t>
  </si>
  <si>
    <t>飯田　俊雄</t>
  </si>
  <si>
    <t>いいだクリニック</t>
  </si>
  <si>
    <t>内科、外科、消化器科、肛門科</t>
  </si>
  <si>
    <t>浜口　博史</t>
  </si>
  <si>
    <t>浜口眼科</t>
  </si>
  <si>
    <t>名張市鴻之台2番町108番地</t>
  </si>
  <si>
    <t>出口　雅俊</t>
  </si>
  <si>
    <t>でぐち内科クリニック</t>
  </si>
  <si>
    <t>伊勢市二見町荘2141</t>
  </si>
  <si>
    <t>内科、内科、消化器内科、呼吸器内科、循環器内科</t>
  </si>
  <si>
    <t>荒木　俊光</t>
  </si>
  <si>
    <t>羽場　理彦</t>
  </si>
  <si>
    <t>医療法人社団津北整形外科</t>
  </si>
  <si>
    <t>石田　保</t>
  </si>
  <si>
    <t>医療法人　石田胃腸科病院</t>
  </si>
  <si>
    <t>胃腸科、消化器科、外科、肛門科、内科</t>
  </si>
  <si>
    <t>村嶋　正幸</t>
  </si>
  <si>
    <t>賀川　賢</t>
  </si>
  <si>
    <t>小林　由直</t>
  </si>
  <si>
    <t>国立大学法人三重大学医学部附属病院</t>
  </si>
  <si>
    <t>津市江戸橋2丁目174番地</t>
  </si>
  <si>
    <t>井戸　政佳</t>
  </si>
  <si>
    <t>いど胃腸科クリニック</t>
  </si>
  <si>
    <t>胃腸・消化器内科、内科、外科</t>
  </si>
  <si>
    <t>和氣　一兆</t>
  </si>
  <si>
    <t>わき内科クリニック</t>
  </si>
  <si>
    <t>畑地　治</t>
  </si>
  <si>
    <t>松阪市殿町1550番地</t>
  </si>
  <si>
    <t>小長谷　正明</t>
  </si>
  <si>
    <t>独立行政法人　国立病院機構　鈴鹿病院</t>
  </si>
  <si>
    <t>鈴鹿市加佐登三丁目2番1号</t>
  </si>
  <si>
    <t>久留　聡</t>
  </si>
  <si>
    <t>木村　正剛</t>
  </si>
  <si>
    <t>松永　功一</t>
  </si>
  <si>
    <t>丸の内　まつなが眼科</t>
  </si>
  <si>
    <t>津市東丸之内21番6号　ハクボタンビル3階</t>
  </si>
  <si>
    <t>渡邊　雄二</t>
  </si>
  <si>
    <t>河崎クリニック</t>
  </si>
  <si>
    <t>山田　哲生</t>
  </si>
  <si>
    <t>内科・腎臓内科</t>
  </si>
  <si>
    <t>冨田　良弘</t>
  </si>
  <si>
    <t>とみだ整形外科</t>
  </si>
  <si>
    <t>松阪市久保町字下前304番地3</t>
  </si>
  <si>
    <t>高木　健裕</t>
  </si>
  <si>
    <t>中村　正之</t>
  </si>
  <si>
    <t>中村内科循環器科</t>
  </si>
  <si>
    <t>横山　尚正</t>
  </si>
  <si>
    <t>横山内科クリニック</t>
  </si>
  <si>
    <t>伊藤　幹弥</t>
  </si>
  <si>
    <t>石川記念いとうクリニック</t>
  </si>
  <si>
    <t>四日市市桜町127</t>
  </si>
  <si>
    <t>内科、循環器科、消化器科</t>
  </si>
  <si>
    <t>桑原　浩</t>
  </si>
  <si>
    <t>医療法人桑春会　桑原医院</t>
  </si>
  <si>
    <t>小児科、内科</t>
  </si>
  <si>
    <t>海野　雅澄</t>
  </si>
  <si>
    <t>医療法人　海野内科</t>
  </si>
  <si>
    <t>中村　菊洋</t>
  </si>
  <si>
    <t>医療法人菊栄会　中村クリニック</t>
  </si>
  <si>
    <t>胃腸科、外科</t>
  </si>
  <si>
    <t>北川　真人</t>
  </si>
  <si>
    <t>寺田クリニック</t>
  </si>
  <si>
    <t>内科、胃腸内科</t>
  </si>
  <si>
    <t>園田　さとみ</t>
  </si>
  <si>
    <t>医療法人　全心会　伊勢ひかり病院</t>
  </si>
  <si>
    <t>安田　敬済</t>
  </si>
  <si>
    <t>らんクリニック</t>
  </si>
  <si>
    <t>内科、脳神経外科、リハビリテーション科</t>
  </si>
  <si>
    <t>井谷　俊夫</t>
  </si>
  <si>
    <t>医療法人　SUNRISEあさひクリニック</t>
  </si>
  <si>
    <t>三重郡朝日町向陽台2丁目16番地2</t>
  </si>
  <si>
    <t>入山　拓平</t>
  </si>
  <si>
    <t>豊田クリニック</t>
  </si>
  <si>
    <t>内科、外科、消化器内科、肛門外科</t>
  </si>
  <si>
    <t>太田　千鶴子</t>
  </si>
  <si>
    <t>おおたクリニック</t>
  </si>
  <si>
    <t>松阪市下村町993</t>
  </si>
  <si>
    <t>塚本　宏滋</t>
  </si>
  <si>
    <t>内科・消化器科　つかもとクリニック</t>
  </si>
  <si>
    <t>四日市市三重一丁目6番地</t>
  </si>
  <si>
    <t>伊藤　八峯</t>
  </si>
  <si>
    <t>三重県厚生農業協同組合連合会　三重北医療センター　菰野厚生病院</t>
  </si>
  <si>
    <t>三重郡菰野町大字福村75番地</t>
  </si>
  <si>
    <t>池田　浩司</t>
  </si>
  <si>
    <t>浜田　実</t>
  </si>
  <si>
    <t>医療法人社団　浜田内科胃腸科</t>
  </si>
  <si>
    <t>松阪市久保町西沖487番地1</t>
  </si>
  <si>
    <t>吉村　暢仁</t>
  </si>
  <si>
    <t>よしむら医院</t>
  </si>
  <si>
    <t>松阪市大黒田町431</t>
  </si>
  <si>
    <t>泌尿器科、内科、外科</t>
  </si>
  <si>
    <t>伊藤　邦生</t>
  </si>
  <si>
    <t>医療法人　鈴鹿いとう眼科</t>
  </si>
  <si>
    <t>古橋　篤</t>
  </si>
  <si>
    <t>谷口　利江</t>
  </si>
  <si>
    <t>武田　朋子</t>
  </si>
  <si>
    <t>前澤　眞理子</t>
  </si>
  <si>
    <t>長谷川　昌弘</t>
  </si>
  <si>
    <t>はせがわこどもクリニック</t>
  </si>
  <si>
    <t>松阪市射和町603</t>
  </si>
  <si>
    <t>藤井　昌麻呂</t>
  </si>
  <si>
    <t>医療法人宗玄会ふじい内科クリニック</t>
  </si>
  <si>
    <t>四日市市川島町6507番地2</t>
  </si>
  <si>
    <t>内科、循環器内科、消化器内科、呼吸器内科、小児科、放射線科、リハビリテーション科</t>
  </si>
  <si>
    <t>原澤　博文</t>
  </si>
  <si>
    <t>さくらクリニック</t>
  </si>
  <si>
    <t>濵口　富弥</t>
  </si>
  <si>
    <t>はまぐち内科クリニック</t>
  </si>
  <si>
    <t>内科、循環器内科、アレルギー科</t>
  </si>
  <si>
    <t>宮村　昌孝</t>
  </si>
  <si>
    <t>松阪宮村眼科</t>
  </si>
  <si>
    <t>松阪市若葉町486</t>
  </si>
  <si>
    <t>横角　健二</t>
  </si>
  <si>
    <t>よこずみ整形外科</t>
  </si>
  <si>
    <t>四日市市小生町782</t>
  </si>
  <si>
    <t>坂　洋一</t>
  </si>
  <si>
    <t>塩川病院</t>
  </si>
  <si>
    <t>鈴鹿市平田1丁目3番7号</t>
  </si>
  <si>
    <t>総合内科（消化器）</t>
  </si>
  <si>
    <t>落合　仁</t>
  </si>
  <si>
    <t>医療法人　彰仁会　落合小児科医院</t>
  </si>
  <si>
    <t>小児科、アレルギー科</t>
  </si>
  <si>
    <t>堀　恭子</t>
  </si>
  <si>
    <t>医療法人　山の手内科クリニック</t>
  </si>
  <si>
    <t>式田　年晴</t>
  </si>
  <si>
    <t>南島メディカルセンター</t>
  </si>
  <si>
    <t>度会郡南伊勢町慥柄浦1番地1</t>
  </si>
  <si>
    <t>整形外科、リハビリテーション科</t>
  </si>
  <si>
    <t>河北　知之</t>
  </si>
  <si>
    <t>たまき玉川クリニック</t>
  </si>
  <si>
    <t>髙橋　岳夫</t>
  </si>
  <si>
    <t>たかはし内科</t>
  </si>
  <si>
    <t>内科・循環器内科・消化器内科・呼吸器内科</t>
  </si>
  <si>
    <t>関　志麻子</t>
  </si>
  <si>
    <t>竹尾　かおり</t>
  </si>
  <si>
    <t>安田　知重</t>
  </si>
  <si>
    <t>三輪　雅彦</t>
  </si>
  <si>
    <t>桑名市中央町5丁目7番地</t>
  </si>
  <si>
    <t>西原　秀宏</t>
  </si>
  <si>
    <t>上津台小児科クリニック</t>
  </si>
  <si>
    <t>雨宮　喜雄</t>
  </si>
  <si>
    <t>すこやかこどもクリニック</t>
  </si>
  <si>
    <t>加藤　崇明</t>
  </si>
  <si>
    <t>加藤内科</t>
  </si>
  <si>
    <t>鈴鹿市算所2丁目14番12号</t>
  </si>
  <si>
    <t>三輪　一真</t>
  </si>
  <si>
    <t>いなべ糖尿病・内分泌内科</t>
  </si>
  <si>
    <t>内分泌内科</t>
  </si>
  <si>
    <t>伊東　猛</t>
  </si>
  <si>
    <t>いとう内科消化器科</t>
  </si>
  <si>
    <t>笠間　睦</t>
  </si>
  <si>
    <t>医療法人凰林会　榊原白鳳病院</t>
  </si>
  <si>
    <t>松井　孝治</t>
  </si>
  <si>
    <t>羽津眼科</t>
  </si>
  <si>
    <t>四日市市羽津中1丁目4番21号</t>
  </si>
  <si>
    <t>中塚　晶博</t>
  </si>
  <si>
    <t>目崎　高広</t>
  </si>
  <si>
    <t>西　篤美</t>
  </si>
  <si>
    <t>ひなが西眼科</t>
  </si>
  <si>
    <t>小西　清隆</t>
  </si>
  <si>
    <t>医療法人　清隆会　小西皮ふ科</t>
  </si>
  <si>
    <t>内田　幾代</t>
  </si>
  <si>
    <t>医療法人　内田皮膚科</t>
  </si>
  <si>
    <t>四日市市高角町737</t>
  </si>
  <si>
    <t>小西　正芳</t>
  </si>
  <si>
    <t>小西内科クリニック</t>
  </si>
  <si>
    <t>沖中　務</t>
  </si>
  <si>
    <t>沖中内科循環器科</t>
  </si>
  <si>
    <t>佐野　徹</t>
  </si>
  <si>
    <t>さの眼科クリニック</t>
  </si>
  <si>
    <t>大西　勝也</t>
  </si>
  <si>
    <t>大西内科ハートクリニック</t>
  </si>
  <si>
    <t>舘　靖彦</t>
  </si>
  <si>
    <t>三井整形外科</t>
  </si>
  <si>
    <t>大辻　孝昭</t>
  </si>
  <si>
    <t>大辻整形外科</t>
  </si>
  <si>
    <t>石野　剛</t>
  </si>
  <si>
    <t>あい眼科リハビリクリニック</t>
  </si>
  <si>
    <t>津田　光徳</t>
  </si>
  <si>
    <t>津田クリニック</t>
  </si>
  <si>
    <t>津市久居新町3006ポルタひさい2・3F</t>
  </si>
  <si>
    <t>内科、神経内科、リハビリテーション科</t>
  </si>
  <si>
    <t>宮﨑　眞佐男</t>
  </si>
  <si>
    <t>榊原　綾子</t>
  </si>
  <si>
    <t>岡野　秀治</t>
  </si>
  <si>
    <t>医療法人　おかの医院</t>
  </si>
  <si>
    <t>内科・循環器内科・呼吸器内科・消化器内科、リハビリテーション科</t>
  </si>
  <si>
    <t>佐々木　良磨</t>
  </si>
  <si>
    <t>佐々木内科</t>
  </si>
  <si>
    <t>伊賀市緑ヶ丘本町1629の1</t>
  </si>
  <si>
    <t>北井　珠樹</t>
  </si>
  <si>
    <t>ハートフルクリニック北井内科</t>
  </si>
  <si>
    <t>釜本　寛之</t>
  </si>
  <si>
    <t>医療法人釜本医院</t>
  </si>
  <si>
    <t>名張市木屋町1386</t>
  </si>
  <si>
    <t>竹村　統成</t>
  </si>
  <si>
    <t>医療法人　童心会　志摩こどもの城クリニック</t>
  </si>
  <si>
    <t>羽根　靖之</t>
  </si>
  <si>
    <t>医療法人　童心会　はね小児科医院</t>
  </si>
  <si>
    <t>小児科、皮膚科、呼吸器科</t>
  </si>
  <si>
    <t>水口　正人</t>
  </si>
  <si>
    <t>水口内科クリニック</t>
  </si>
  <si>
    <t>豊田　浩司</t>
  </si>
  <si>
    <t>一志眼科</t>
  </si>
  <si>
    <t>津市一志町高野271</t>
  </si>
  <si>
    <t>宮﨑　光一</t>
  </si>
  <si>
    <t>町立南伊勢病院</t>
  </si>
  <si>
    <t>度会郡南伊勢町船越2545番地</t>
  </si>
  <si>
    <t>岡島　泰彦</t>
  </si>
  <si>
    <t>医療法人　岡島眼科</t>
  </si>
  <si>
    <t>桑名市三栄町46番地</t>
  </si>
  <si>
    <t>菅　孝明</t>
  </si>
  <si>
    <t>医療法人　すが内科</t>
  </si>
  <si>
    <t>四日市市菅原町828</t>
  </si>
  <si>
    <t>内科、胃腸内科、循環器内科、呼吸器内科</t>
  </si>
  <si>
    <t>江﨑　弘治</t>
  </si>
  <si>
    <t>江﨑眼科クリニック</t>
  </si>
  <si>
    <t>沢　秀彦</t>
  </si>
  <si>
    <t>さわ内科胃腸科クリニック</t>
  </si>
  <si>
    <t>西山　敦</t>
  </si>
  <si>
    <t>西山クリニック</t>
  </si>
  <si>
    <t>小笠原　哲也</t>
  </si>
  <si>
    <t>小笠原内科</t>
  </si>
  <si>
    <t>内科、消化器内科、循環器内科、呼吸器内科</t>
  </si>
  <si>
    <t>岩崎病院</t>
  </si>
  <si>
    <t>田中　公人</t>
  </si>
  <si>
    <t>九鬼脳神経クリニック</t>
  </si>
  <si>
    <t>脳神経外科、内科</t>
  </si>
  <si>
    <t>柴田　丈夫</t>
  </si>
  <si>
    <t>医療法人育児会　北村記念　しばた小児科医院</t>
  </si>
  <si>
    <t>下野　一子</t>
  </si>
  <si>
    <t>森　孝郎</t>
  </si>
  <si>
    <t>もりえい病院</t>
  </si>
  <si>
    <t>桑名市内堀28番地の1</t>
  </si>
  <si>
    <t>内科、外科、消化器外科、整形外科</t>
  </si>
  <si>
    <t>山﨑　隆</t>
  </si>
  <si>
    <t>整形外科たかしクリニック</t>
  </si>
  <si>
    <t>津市一身田上津部田1817</t>
  </si>
  <si>
    <t>整形外科、リウマチ科、リハビリテーション科、小児外科</t>
  </si>
  <si>
    <t>青山　徹</t>
  </si>
  <si>
    <t>青山循環器内科クリニック</t>
  </si>
  <si>
    <t>伊藤　良和</t>
  </si>
  <si>
    <t>津眼科</t>
  </si>
  <si>
    <t>津市一身田上津部田1824</t>
  </si>
  <si>
    <t>木野　旬</t>
  </si>
  <si>
    <t>医療法人　木野整形外科</t>
  </si>
  <si>
    <t>名張市桔梗が丘4番町1街区7番地</t>
  </si>
  <si>
    <t>稲地　真</t>
  </si>
  <si>
    <t>いなち皮フ科</t>
  </si>
  <si>
    <t>武藤　紹士</t>
  </si>
  <si>
    <t>むとうクリニック</t>
  </si>
  <si>
    <t>外科・心臓血管外科・呼吸器外科・消化器外科</t>
  </si>
  <si>
    <t>樋口　哲也</t>
  </si>
  <si>
    <t>樋口胃腸科・内科クリニック</t>
  </si>
  <si>
    <t>鈴鹿市白子町59</t>
  </si>
  <si>
    <t>別府　徹也</t>
  </si>
  <si>
    <t>別府内科クリニック</t>
  </si>
  <si>
    <t>内科（消化器内科・肝臓内科）</t>
  </si>
  <si>
    <t>藤岡　博道</t>
  </si>
  <si>
    <t>ふじおかクリニック</t>
  </si>
  <si>
    <t>岡村　一則</t>
  </si>
  <si>
    <t>おかむらクリニック</t>
  </si>
  <si>
    <t>胃腸科、外科、内科、肛門内科</t>
  </si>
  <si>
    <t>中野　達徳</t>
  </si>
  <si>
    <t>津市大鳥町424番地1</t>
  </si>
  <si>
    <t>脇田　英明</t>
  </si>
  <si>
    <t>小松　敏</t>
  </si>
  <si>
    <t>医療法人　いせ眼科クリニック</t>
  </si>
  <si>
    <t>山脇　忠晴</t>
  </si>
  <si>
    <t>医療法人山脇会　とと内科診療所</t>
  </si>
  <si>
    <t>四日市市小杉新町70</t>
  </si>
  <si>
    <t>第二岩崎病院</t>
  </si>
  <si>
    <t>丸山　昭</t>
  </si>
  <si>
    <t>津市一身田町387番地</t>
  </si>
  <si>
    <t>渡辺　正博</t>
  </si>
  <si>
    <t>医療法人こどもの城　すずかこどもクリニック</t>
  </si>
  <si>
    <t>小児科、アレルギー科、皮膚科、内科</t>
  </si>
  <si>
    <t>森　建之</t>
  </si>
  <si>
    <t>日下病院</t>
  </si>
  <si>
    <t>いなべ市北勢町阿下喜680番地</t>
  </si>
  <si>
    <t>日下　政哉</t>
  </si>
  <si>
    <t>伊藤　吾郎</t>
  </si>
  <si>
    <t>医療法人温知会いとう医院</t>
  </si>
  <si>
    <t>桑名市中山町40</t>
  </si>
  <si>
    <t>浜田　宏昭</t>
  </si>
  <si>
    <t>浜田整形外科</t>
  </si>
  <si>
    <t>大久保　俊樹</t>
  </si>
  <si>
    <t>大久保クリニック</t>
  </si>
  <si>
    <t>山田　素久</t>
  </si>
  <si>
    <t>医療法人山田内科外科</t>
  </si>
  <si>
    <t>整形外科、内科、外科、放射線科</t>
  </si>
  <si>
    <t>辻　理</t>
  </si>
  <si>
    <t>辻クリニック</t>
  </si>
  <si>
    <t>内科、脳神経外科</t>
  </si>
  <si>
    <t>水谷　英夫</t>
  </si>
  <si>
    <t>えば内科・循環器内科</t>
  </si>
  <si>
    <t>清水　一之</t>
  </si>
  <si>
    <t>医療法人　清水眼科</t>
  </si>
  <si>
    <t>伊賀市上野寺町1165番地の3</t>
  </si>
  <si>
    <t>堀澤　信喜</t>
  </si>
  <si>
    <t>竹内　啓</t>
  </si>
  <si>
    <t>たけうち眼科医院</t>
  </si>
  <si>
    <t>岩間　喜徳</t>
  </si>
  <si>
    <t>岩間眼科</t>
  </si>
  <si>
    <t>膠原病リウマチ内科</t>
  </si>
  <si>
    <t>蛯原　愛子</t>
  </si>
  <si>
    <t>地方独立行政法人　桑名市総合医療センター</t>
  </si>
  <si>
    <t>桑名市寿町三丁目11番地</t>
  </si>
  <si>
    <t>泉　恭代</t>
  </si>
  <si>
    <t>泉内科・消化器内科</t>
  </si>
  <si>
    <t>桑名市大字北別所416番地1</t>
  </si>
  <si>
    <t>大久保　節也</t>
  </si>
  <si>
    <t>市川　毅彦</t>
  </si>
  <si>
    <t>川口　達也</t>
  </si>
  <si>
    <t>放射線科</t>
  </si>
  <si>
    <t>三浦　智美</t>
  </si>
  <si>
    <t>麻酔科</t>
  </si>
  <si>
    <t>大森　茂</t>
  </si>
  <si>
    <t>みたき健診クリニック</t>
  </si>
  <si>
    <t>中瀬古　健</t>
  </si>
  <si>
    <t>鈴木　秀郎</t>
  </si>
  <si>
    <t>町支　秀樹</t>
  </si>
  <si>
    <t>安冨　眞史</t>
  </si>
  <si>
    <t>湯淺　右人</t>
  </si>
  <si>
    <t>心臓血管外科</t>
  </si>
  <si>
    <t>平田　圭甫</t>
  </si>
  <si>
    <t>桑名耳鼻咽喉科</t>
  </si>
  <si>
    <t>桑名市大字桑名字北浜628番8</t>
  </si>
  <si>
    <t>吉村　平</t>
  </si>
  <si>
    <t>木瀬　英明</t>
  </si>
  <si>
    <t>きせ腎泌尿器科・かんぽうクリニック</t>
  </si>
  <si>
    <t>桑名市赤尾2027番地2</t>
  </si>
  <si>
    <t>泌尿器科、漢方内科</t>
  </si>
  <si>
    <t>細見　雅美</t>
  </si>
  <si>
    <t>みやび眼科</t>
  </si>
  <si>
    <t>四日市市ときわ二丁目9番13号</t>
  </si>
  <si>
    <t>松井　法子</t>
  </si>
  <si>
    <t>蛭薙　典子</t>
  </si>
  <si>
    <t>玉田クリニック</t>
  </si>
  <si>
    <t>鈴鹿市稲生四丁目4878番2</t>
  </si>
  <si>
    <t>神経内科、リハビリテーション科</t>
  </si>
  <si>
    <t>名越　豊</t>
  </si>
  <si>
    <t>さかえ整形外科</t>
  </si>
  <si>
    <t>後藤　亮太郎</t>
  </si>
  <si>
    <t>中部眼科</t>
  </si>
  <si>
    <t>桑名市大字東方福島前768番地1</t>
  </si>
  <si>
    <t>竹尾　静香</t>
  </si>
  <si>
    <t>三重おびら眼科</t>
  </si>
  <si>
    <t>四日市市曽井町字東門田78</t>
  </si>
  <si>
    <t>川野　拓</t>
  </si>
  <si>
    <t>川野眼科</t>
  </si>
  <si>
    <t>川野　美知子</t>
  </si>
  <si>
    <t>埜村　智之</t>
  </si>
  <si>
    <t>いなべ市北勢町阿下喜771</t>
  </si>
  <si>
    <t>菅原　望</t>
  </si>
  <si>
    <t>桑名市東方字打上田232</t>
  </si>
  <si>
    <t>藤巻　哲夫</t>
  </si>
  <si>
    <t>相田　直隆</t>
  </si>
  <si>
    <t>奥地　裕</t>
  </si>
  <si>
    <t>おくち整形外科クリニック</t>
  </si>
  <si>
    <t>千葉　高司</t>
  </si>
  <si>
    <t>ちば皮フ科耳鼻咽喉科</t>
  </si>
  <si>
    <t>員弁郡東員町大字鳥取1296番地1</t>
  </si>
  <si>
    <t>中村　真潮</t>
  </si>
  <si>
    <t>陽だまりの丘なかむら内科</t>
  </si>
  <si>
    <t>桑名市陽だまりの丘7丁目1510番地</t>
  </si>
  <si>
    <t>内科、小児科、循環器内科、リハビリテーション科</t>
  </si>
  <si>
    <t>伊丹　夕加里</t>
  </si>
  <si>
    <t>いたみ眼科</t>
  </si>
  <si>
    <t>津市藤方87</t>
  </si>
  <si>
    <t>太田　正澄</t>
  </si>
  <si>
    <t>うれしの太田クリニック</t>
  </si>
  <si>
    <t>消化器内科、外科、内科、肛門外科、リハビリテーション科</t>
  </si>
  <si>
    <t>水谷　正巳</t>
  </si>
  <si>
    <t>あさけが丘診療所</t>
  </si>
  <si>
    <t>水谷　恵</t>
  </si>
  <si>
    <t>西井　一浩</t>
  </si>
  <si>
    <t>西井一浩クリニック</t>
  </si>
  <si>
    <t>二井　栄</t>
  </si>
  <si>
    <t>白子ウィメンズホスピタル</t>
  </si>
  <si>
    <t>鈴鹿市南江島町9番15号</t>
  </si>
  <si>
    <t>産科・婦人科・小児科</t>
  </si>
  <si>
    <t>伊藤　邦展</t>
  </si>
  <si>
    <t>別所　愛彦</t>
  </si>
  <si>
    <t>医療法人社団医流会　別所ヒフ科</t>
  </si>
  <si>
    <t>高橋　志光</t>
  </si>
  <si>
    <t>医療法人社団　たかはし耳鼻咽喉科</t>
  </si>
  <si>
    <t>津市藤方146番地1</t>
  </si>
  <si>
    <t>横山　真介</t>
  </si>
  <si>
    <t>名張よこやま眼科</t>
  </si>
  <si>
    <t>楊　睦義</t>
  </si>
  <si>
    <t>ひだまり眼科</t>
  </si>
  <si>
    <t>桑名市陽だまりの丘7丁目1601番地</t>
  </si>
  <si>
    <t>寺田　衛</t>
  </si>
  <si>
    <t>寺田医院</t>
  </si>
  <si>
    <t>内科・胃腸内科</t>
  </si>
  <si>
    <t>落合　敏広</t>
  </si>
  <si>
    <t>落合内科</t>
  </si>
  <si>
    <t>野内　伸浩</t>
  </si>
  <si>
    <t>皮ふ科　野内クリニック</t>
  </si>
  <si>
    <t>久野　泰</t>
  </si>
  <si>
    <t>医療法人 ひなが胃腸内科・乳腺外科</t>
  </si>
  <si>
    <t>四日市市日永１丁目13番26号</t>
  </si>
  <si>
    <t>杉本　浩多</t>
  </si>
  <si>
    <t>杉本眼科クリニック</t>
  </si>
  <si>
    <t>浜口整形外科</t>
  </si>
  <si>
    <t>濱口　貴彦</t>
  </si>
  <si>
    <t>中世古　直成</t>
  </si>
  <si>
    <t>市立伊勢総合病院</t>
  </si>
  <si>
    <t>伊勢市楠部町3038番地</t>
  </si>
  <si>
    <t>中世古　幸成</t>
  </si>
  <si>
    <t>今村　哲也</t>
  </si>
  <si>
    <t>堀内　英輔</t>
  </si>
  <si>
    <t>西井　正美</t>
  </si>
  <si>
    <t>吉田　格之進</t>
  </si>
  <si>
    <t>里中　東彦</t>
  </si>
  <si>
    <t>原　隆久</t>
  </si>
  <si>
    <t>岡本　篤之</t>
  </si>
  <si>
    <t>野田　直哉</t>
  </si>
  <si>
    <t>伊藤　史人</t>
  </si>
  <si>
    <t>松本　勝久</t>
  </si>
  <si>
    <t>江見　吉晴</t>
  </si>
  <si>
    <t>池田　健</t>
  </si>
  <si>
    <t>塚本　能英</t>
  </si>
  <si>
    <t>独立行政法人国立病院機構三重病院</t>
  </si>
  <si>
    <t>津市大里窪田町357番地</t>
  </si>
  <si>
    <t>丸山　貴也</t>
  </si>
  <si>
    <t>荒木　里香</t>
  </si>
  <si>
    <t>臼井　智子</t>
  </si>
  <si>
    <t>長尾　みづほ</t>
  </si>
  <si>
    <t>谷口　清州</t>
  </si>
  <si>
    <t>篠木　敏彦</t>
  </si>
  <si>
    <t>村田　博昭</t>
  </si>
  <si>
    <t>西山　正紀</t>
  </si>
  <si>
    <t>藤澤　隆夫</t>
  </si>
  <si>
    <t>菅　秀</t>
  </si>
  <si>
    <t>多気郡明和町大字上野435</t>
  </si>
  <si>
    <t>大橋　浩</t>
  </si>
  <si>
    <t>貝沼　圭吾</t>
  </si>
  <si>
    <t>医療法人　悟りの会　貝沼内科小児科</t>
  </si>
  <si>
    <t>四日市市泊山崎町10番1号</t>
  </si>
  <si>
    <t>鈴木　由紀</t>
  </si>
  <si>
    <t>髙橋　純哉</t>
  </si>
  <si>
    <t>ヤナセクリニック</t>
  </si>
  <si>
    <t>津市乙部5番3号</t>
  </si>
  <si>
    <t>小児科、精神科</t>
  </si>
  <si>
    <t>中澤　誠</t>
  </si>
  <si>
    <t>芝　真人</t>
  </si>
  <si>
    <t>鈴鹿市国府町112番地1</t>
  </si>
  <si>
    <t>伊藤　由紀子</t>
  </si>
  <si>
    <t>津市久居明神町2158番地5</t>
  </si>
  <si>
    <t>池村　重人</t>
  </si>
  <si>
    <t>大倉　康生</t>
  </si>
  <si>
    <t>外科、消化器外科</t>
  </si>
  <si>
    <t>濵田　賢司</t>
  </si>
  <si>
    <t>鈴木　竜一</t>
  </si>
  <si>
    <t>川野　理</t>
  </si>
  <si>
    <t>呼吸器外科</t>
  </si>
  <si>
    <t>田中　克浩</t>
  </si>
  <si>
    <t>川口　健司</t>
  </si>
  <si>
    <t>医療法人　かわぐち脳神経クリニック</t>
  </si>
  <si>
    <t>鈴鹿市桜島町六丁目20番5</t>
  </si>
  <si>
    <t>山田　浩之</t>
  </si>
  <si>
    <t>稲田　均</t>
  </si>
  <si>
    <t>肝胆膵・移植外科</t>
  </si>
  <si>
    <t>牧　聡樹</t>
  </si>
  <si>
    <t>髙島　慎吾</t>
  </si>
  <si>
    <t>西村　晃</t>
  </si>
  <si>
    <t>松崎　晋平</t>
  </si>
  <si>
    <t>太田　覚史</t>
  </si>
  <si>
    <t>小西　克尚</t>
  </si>
  <si>
    <t>特定医療法人同心会　遠山病院</t>
  </si>
  <si>
    <t>大村　崇</t>
  </si>
  <si>
    <t>岡野　宏</t>
  </si>
  <si>
    <t>向　克巳</t>
  </si>
  <si>
    <t>伊藤　竜吾</t>
  </si>
  <si>
    <t>榊原温泉病院</t>
  </si>
  <si>
    <t>津市榊原町1033番地の4</t>
  </si>
  <si>
    <t>高木　幹郎</t>
  </si>
  <si>
    <t>川上　恵基</t>
  </si>
  <si>
    <t>北村　哲也</t>
  </si>
  <si>
    <t>伊藤　伸朗</t>
  </si>
  <si>
    <t>佐瀬　友博</t>
  </si>
  <si>
    <t>足立　幸彦</t>
  </si>
  <si>
    <t>伊賀市立上野総合市民病院</t>
  </si>
  <si>
    <t>関岡　清次</t>
  </si>
  <si>
    <t>関岡クリニック</t>
  </si>
  <si>
    <t>度会郡南伊勢町五ケ所浦4133</t>
  </si>
  <si>
    <t>内科、循環器内科、消化器内科、呼吸器内科</t>
  </si>
  <si>
    <t>野口　幸延</t>
  </si>
  <si>
    <t>医療法人　野口内科胃腸科医院</t>
  </si>
  <si>
    <t>北牟婁郡紀北町引本浦883番地の4</t>
  </si>
  <si>
    <t>内科、胃腸科、小児科、リハビリテーション科</t>
  </si>
  <si>
    <t>小久保　康昌</t>
  </si>
  <si>
    <t>山添　尚久</t>
  </si>
  <si>
    <t>水門　秀行</t>
  </si>
  <si>
    <t>すいもん眼科</t>
  </si>
  <si>
    <t>尾邉　利英</t>
  </si>
  <si>
    <t>三浦　功也</t>
  </si>
  <si>
    <t>みうら眼科</t>
  </si>
  <si>
    <t>中本　節夫</t>
  </si>
  <si>
    <t>中本耳鼻咽喉科</t>
  </si>
  <si>
    <t>津市河芸町東千里24番地</t>
  </si>
  <si>
    <t>冨田　昌孝</t>
  </si>
  <si>
    <t>医療法人　冨田内科</t>
  </si>
  <si>
    <t>水野　史門</t>
  </si>
  <si>
    <t>水野眼科</t>
  </si>
  <si>
    <t>中田　和光</t>
  </si>
  <si>
    <t>医療法人社団　中田会　中田整形外科</t>
  </si>
  <si>
    <t>駒田　文彦</t>
  </si>
  <si>
    <t>医療法人KMC　かいばな内科クリニック</t>
  </si>
  <si>
    <t>内科、血液内科、消化器内科</t>
  </si>
  <si>
    <t>黒田　誠</t>
  </si>
  <si>
    <t>くろだファミリークリニック</t>
  </si>
  <si>
    <t>坪井　順哉</t>
  </si>
  <si>
    <t>独立行政法人　地域医療機能推進機構　四日市羽津医療センター</t>
  </si>
  <si>
    <t>田中　弥生</t>
  </si>
  <si>
    <t>森本　亮</t>
  </si>
  <si>
    <t>整形外科もりもとクリニック</t>
  </si>
  <si>
    <t>三重県立子ども心身発達医療センター</t>
  </si>
  <si>
    <t>津市大里窪田町340番5</t>
  </si>
  <si>
    <t>杉本　恭子</t>
  </si>
  <si>
    <t>櫻井　正樹</t>
  </si>
  <si>
    <t>住田　安弘</t>
  </si>
  <si>
    <t>四日市市羽津山町10番8号</t>
  </si>
  <si>
    <t>佐藤　良子</t>
  </si>
  <si>
    <t>中島　滋人</t>
  </si>
  <si>
    <t>川村　正樹</t>
  </si>
  <si>
    <t>角田　健太郎</t>
  </si>
  <si>
    <t>循環器内科、内科</t>
  </si>
  <si>
    <t>水谷　安秀</t>
  </si>
  <si>
    <t>梅枝　覚</t>
  </si>
  <si>
    <t>山本　隆行</t>
  </si>
  <si>
    <t>加藤　貴裕</t>
  </si>
  <si>
    <t>中野　めぐみ</t>
  </si>
  <si>
    <t>石見　拓</t>
  </si>
  <si>
    <t>小林　透</t>
  </si>
  <si>
    <t>医療法人夕凪会 小林内科クリニック</t>
  </si>
  <si>
    <t>家田　幸一</t>
  </si>
  <si>
    <t>家田クリニック</t>
  </si>
  <si>
    <t>市川　澄子</t>
  </si>
  <si>
    <t>医療法人　市川皮膚科</t>
  </si>
  <si>
    <t>鈴鹿市西条6丁目21</t>
  </si>
  <si>
    <t>小児科・アレルギー科</t>
  </si>
  <si>
    <t>星野　賢一郎</t>
  </si>
  <si>
    <t>内科、消化器科</t>
  </si>
  <si>
    <t>小林　求美子</t>
  </si>
  <si>
    <t>小林眼科クリニック</t>
  </si>
  <si>
    <t>遠藤　太久郎</t>
  </si>
  <si>
    <t>いせ在宅医療クリニック</t>
  </si>
  <si>
    <t>伊勢市御薗町高向927</t>
  </si>
  <si>
    <t>婦人科</t>
  </si>
  <si>
    <t>小川　邦和</t>
  </si>
  <si>
    <t>三重膠原病リウマチ痛風クリニック</t>
  </si>
  <si>
    <t>鈴鹿市白子町3707番1</t>
  </si>
  <si>
    <t>リウマチ科、整形外科</t>
  </si>
  <si>
    <t>甲斐　基一</t>
  </si>
  <si>
    <t>リウマチ科、内科</t>
  </si>
  <si>
    <t>西村　誠</t>
  </si>
  <si>
    <t>松阪にしむら整形外科</t>
  </si>
  <si>
    <t>藤原　達彦</t>
  </si>
  <si>
    <t>久保　一美</t>
  </si>
  <si>
    <t>かずみ内科・消化器内科クリニック</t>
  </si>
  <si>
    <t>いなべ市北勢町麻生田3593番地2</t>
  </si>
  <si>
    <t>千賀　通晴</t>
  </si>
  <si>
    <t>せんが内科・循環器クリニック</t>
  </si>
  <si>
    <t>桑名市中央町1丁目32番地2</t>
  </si>
  <si>
    <t>田之上　明子</t>
  </si>
  <si>
    <t>堂本　洋一</t>
  </si>
  <si>
    <t>脳神経外科、外科</t>
  </si>
  <si>
    <t>今西　隆夫</t>
  </si>
  <si>
    <t>近藤　哲士</t>
  </si>
  <si>
    <t>古橋　亜沙子</t>
  </si>
  <si>
    <t>杉村　育生</t>
  </si>
  <si>
    <t>ヨナハ丘の上病院</t>
  </si>
  <si>
    <t>濱口　幸久</t>
  </si>
  <si>
    <t>いしが在宅ケアクリニック</t>
  </si>
  <si>
    <t>四日市市山城町749番地37</t>
  </si>
  <si>
    <t>内科、疼痛緩和内科</t>
  </si>
  <si>
    <t>田中　滋己</t>
  </si>
  <si>
    <t>血液内科</t>
  </si>
  <si>
    <t>山森　雅彦</t>
  </si>
  <si>
    <t>矢田　隆志</t>
  </si>
  <si>
    <t>有馬　美香</t>
  </si>
  <si>
    <t>濵田　正行</t>
  </si>
  <si>
    <t>今村　暢希</t>
  </si>
  <si>
    <t>医療法人　富田浜病院</t>
  </si>
  <si>
    <t>井阪　直樹</t>
  </si>
  <si>
    <t>大須賀　浩二</t>
  </si>
  <si>
    <t>津腎クリニック</t>
  </si>
  <si>
    <t>西村　淑子</t>
  </si>
  <si>
    <t>大北　喜基</t>
  </si>
  <si>
    <t>別所　京子</t>
  </si>
  <si>
    <t>医療法人　東海眼科</t>
  </si>
  <si>
    <t>津市羽所町399</t>
  </si>
  <si>
    <t>生野　裕子</t>
  </si>
  <si>
    <t>前沢　義秀</t>
  </si>
  <si>
    <t>佐々木　直哉</t>
  </si>
  <si>
    <t>岩﨑　靖</t>
  </si>
  <si>
    <t>清水　健夫</t>
  </si>
  <si>
    <t>中井　久太夫</t>
  </si>
  <si>
    <t>鈴木　雅博</t>
  </si>
  <si>
    <t>佐藤　憲史</t>
  </si>
  <si>
    <t>湯浅　公貴</t>
  </si>
  <si>
    <t>鈴鹿市神戸一丁目2番18号</t>
  </si>
  <si>
    <t>田中　剛史</t>
  </si>
  <si>
    <t>小川　明人</t>
  </si>
  <si>
    <t>横井　一</t>
  </si>
  <si>
    <t>淺沼　由美子</t>
  </si>
  <si>
    <t>髙瀬　幸次郎</t>
  </si>
  <si>
    <t>藤原　篤司</t>
  </si>
  <si>
    <t>森谷　勲</t>
  </si>
  <si>
    <t>井上　英和</t>
  </si>
  <si>
    <t>中嶋　寛</t>
  </si>
  <si>
    <t>中嶋内科</t>
  </si>
  <si>
    <t>池田　哲也</t>
  </si>
  <si>
    <t>もりえい病院附属伊勢湾岸クリニック</t>
  </si>
  <si>
    <t>桑名郡木曽岬町大字和富10番17</t>
  </si>
  <si>
    <t>小西　尚巳</t>
  </si>
  <si>
    <t>渡部　秀樹</t>
  </si>
  <si>
    <t>鈴鹿医療科学大学附属桜の森病院</t>
  </si>
  <si>
    <t>鈴鹿市南玉垣町7300番地1</t>
  </si>
  <si>
    <t>緩和ケア内科</t>
  </si>
  <si>
    <t>横江　毅</t>
  </si>
  <si>
    <t>消化器・一般外科</t>
  </si>
  <si>
    <t>近藤　智昭</t>
  </si>
  <si>
    <t>心臓血管外科、呼吸器外科</t>
  </si>
  <si>
    <t>庄村　心</t>
  </si>
  <si>
    <t>亀井　裕介</t>
  </si>
  <si>
    <t>深澤　恵児</t>
  </si>
  <si>
    <t>杉山　謙二</t>
  </si>
  <si>
    <t>太田　穂高</t>
  </si>
  <si>
    <t>田中　浩彦</t>
  </si>
  <si>
    <t>伊勢市船江一丁目471番2</t>
  </si>
  <si>
    <t>奥山　典孝</t>
  </si>
  <si>
    <t>加古　智子</t>
  </si>
  <si>
    <t>佐宗　幹夫</t>
  </si>
  <si>
    <t>鈴村　恵理</t>
  </si>
  <si>
    <t>鈴木　賢治</t>
  </si>
  <si>
    <t>古田　智之</t>
  </si>
  <si>
    <t>高橋　雄</t>
  </si>
  <si>
    <t>古橋　一壽</t>
  </si>
  <si>
    <t>田代　晴彦</t>
  </si>
  <si>
    <t>髙木　哲之介</t>
  </si>
  <si>
    <t>内科、外科、消化器内科、肛門外科、皮膚科、リハビリテーション科</t>
  </si>
  <si>
    <t>津かじわらクリニック</t>
  </si>
  <si>
    <t>後藤　肇</t>
  </si>
  <si>
    <t>後藤眼科クリニック</t>
  </si>
  <si>
    <t>榎村　尚之</t>
  </si>
  <si>
    <t>仁木　康雄</t>
  </si>
  <si>
    <t>尾嶋　英紀</t>
  </si>
  <si>
    <t>中野　讓子</t>
  </si>
  <si>
    <t>医療法人社団　川越伊藤医院</t>
  </si>
  <si>
    <t>田島　正稔</t>
  </si>
  <si>
    <t>前田　邦子</t>
  </si>
  <si>
    <t>勝峰　康夫</t>
  </si>
  <si>
    <t>西森　久史</t>
  </si>
  <si>
    <t>小川　昌宏</t>
  </si>
  <si>
    <t>井戸　正史</t>
  </si>
  <si>
    <t>小島　裕治</t>
  </si>
  <si>
    <t>髙見　麻佑子</t>
  </si>
  <si>
    <t>髙見内科</t>
  </si>
  <si>
    <t>伊勢市岡本1丁目4番25号</t>
  </si>
  <si>
    <t>山村　光弘</t>
  </si>
  <si>
    <t>やまむら内科内視鏡クリニック</t>
  </si>
  <si>
    <t>消化器内科、</t>
  </si>
  <si>
    <t>松阪厚生病院</t>
  </si>
  <si>
    <t>大西　孝宏</t>
  </si>
  <si>
    <t>腎臓内科、リウマチ・膠原病科</t>
  </si>
  <si>
    <t>高村　武志</t>
  </si>
  <si>
    <t>泉　大介</t>
  </si>
  <si>
    <t>世古　哲哉</t>
  </si>
  <si>
    <t>笠井　篤信</t>
  </si>
  <si>
    <t>特定医療法人　暲純会　武内病院</t>
  </si>
  <si>
    <t>馬路　智昭</t>
  </si>
  <si>
    <t>東川　正宗</t>
  </si>
  <si>
    <t>髙橋　幸二</t>
  </si>
  <si>
    <t>松本　英一</t>
  </si>
  <si>
    <t>外科、乳腺外科</t>
  </si>
  <si>
    <t>山川　徹</t>
  </si>
  <si>
    <t>西本　和人</t>
  </si>
  <si>
    <t>細井　哲</t>
  </si>
  <si>
    <t>医療法人　全心会　伊勢ひかり病院　介護医療院</t>
  </si>
  <si>
    <t>石田　聡</t>
  </si>
  <si>
    <t>中川　直樹</t>
  </si>
  <si>
    <t>羽場　一直</t>
  </si>
  <si>
    <t>はば内科ハートクリニック</t>
  </si>
  <si>
    <t>桑名市西別所996</t>
  </si>
  <si>
    <t>消化管外科</t>
  </si>
  <si>
    <t>松田　理</t>
  </si>
  <si>
    <t>松井　佑梨世</t>
  </si>
  <si>
    <t>平田　典子</t>
  </si>
  <si>
    <t>諸岡　英夫</t>
  </si>
  <si>
    <t>もろおか内科クリニック</t>
  </si>
  <si>
    <t>下村　誠</t>
  </si>
  <si>
    <t>谷口　健太郎</t>
  </si>
  <si>
    <t>松阪市川井町字小望102</t>
  </si>
  <si>
    <t>米村　重則</t>
  </si>
  <si>
    <t>田中　雅</t>
  </si>
  <si>
    <t>新谷　健</t>
  </si>
  <si>
    <t>しんたに整形外科クリニック</t>
  </si>
  <si>
    <t>伊勢市一之木4丁目5番1号</t>
  </si>
  <si>
    <t>中西　朝子</t>
  </si>
  <si>
    <t>田端　正己</t>
  </si>
  <si>
    <t>岩田　真</t>
  </si>
  <si>
    <t>丹羽　惠彦</t>
  </si>
  <si>
    <t>山中　学</t>
  </si>
  <si>
    <t>やまなか脳神経クリニック</t>
  </si>
  <si>
    <t>松阪市嬉野中川新町1丁目3番</t>
  </si>
  <si>
    <t>濱口　元昭</t>
  </si>
  <si>
    <t>ヨナハレディースクリニック</t>
  </si>
  <si>
    <t>桑名市大字和泉イノ割219番地</t>
  </si>
  <si>
    <t>宮田　恵里</t>
  </si>
  <si>
    <t>社会福祉法人恩賜財団済生会松阪総合病院</t>
  </si>
  <si>
    <t>松阪市朝日町一区15番地6</t>
  </si>
  <si>
    <t>塚田　哲也</t>
  </si>
  <si>
    <t>板野　聡</t>
  </si>
  <si>
    <t>医療法人　寺田病院</t>
  </si>
  <si>
    <t>名張市夏見3260番地1</t>
  </si>
  <si>
    <t>外科・胃腸科</t>
  </si>
  <si>
    <t>堀木　貞幸</t>
  </si>
  <si>
    <t>浦上　正弘</t>
  </si>
  <si>
    <t>池田　祐貴子</t>
  </si>
  <si>
    <t>内科、膠原病科</t>
  </si>
  <si>
    <t>谷口　信將</t>
  </si>
  <si>
    <t>川端　栄理子</t>
  </si>
  <si>
    <t>かわばた皮フ科</t>
  </si>
  <si>
    <t>青木　敏夫</t>
  </si>
  <si>
    <t>青木内科</t>
  </si>
  <si>
    <t>桑名市新西方2丁目82番地</t>
  </si>
  <si>
    <t>仲尾　貢二</t>
  </si>
  <si>
    <t>紀南病院</t>
  </si>
  <si>
    <t>南牟婁郡御浜町大字阿田和4750</t>
  </si>
  <si>
    <t>須崎　真</t>
  </si>
  <si>
    <t>久保　朗子</t>
  </si>
  <si>
    <t>伊藤　秀樹</t>
  </si>
  <si>
    <t>度会郡玉城町佐田881番地</t>
  </si>
  <si>
    <t>荒瀬　栄樹</t>
  </si>
  <si>
    <t>高北　久嗣</t>
  </si>
  <si>
    <t>長谷川　真一</t>
  </si>
  <si>
    <t>町田　博文</t>
  </si>
  <si>
    <t>久保　宏幸</t>
  </si>
  <si>
    <t>一見　良司</t>
  </si>
  <si>
    <t>井上　玄</t>
  </si>
  <si>
    <t>新町整形外科診療所</t>
  </si>
  <si>
    <t>小林　穂高</t>
  </si>
  <si>
    <t>名張市百合が丘西1番町178番地</t>
  </si>
  <si>
    <t>伊藤　憲昭</t>
  </si>
  <si>
    <t>大仲さつき病院</t>
  </si>
  <si>
    <t>増田　岳一</t>
  </si>
  <si>
    <t>川村　直人</t>
  </si>
  <si>
    <t>園田　潤</t>
  </si>
  <si>
    <t>後藤　幹伸</t>
  </si>
  <si>
    <t>津ごとう整形外科クリニック</t>
  </si>
  <si>
    <t>安達　勝利</t>
  </si>
  <si>
    <t>山本　和歌子</t>
  </si>
  <si>
    <t>平松　裕二</t>
  </si>
  <si>
    <t>いなべ眼科</t>
  </si>
  <si>
    <t>小林　哲</t>
  </si>
  <si>
    <t>加藤　尚久</t>
  </si>
  <si>
    <t>あこず内科循環器科クリニック</t>
  </si>
  <si>
    <t>鈴木　圭</t>
  </si>
  <si>
    <t>救急科、感染症内科、血液内科</t>
  </si>
  <si>
    <t>刀根　克之</t>
  </si>
  <si>
    <t>大西　幸子</t>
  </si>
  <si>
    <t>松阪市東黒部町835番地</t>
  </si>
  <si>
    <t>竹島　弘知</t>
  </si>
  <si>
    <t>たけしま胃腸科内科</t>
  </si>
  <si>
    <t>内科、胃腸科、アレルギー科、肛門科</t>
  </si>
  <si>
    <t>洪　英在</t>
  </si>
  <si>
    <t>医療法人康誠会　東員病院</t>
  </si>
  <si>
    <t>員弁郡東員町大字穴太2400</t>
  </si>
  <si>
    <t>渡邉　典子</t>
  </si>
  <si>
    <t>藤本　源</t>
  </si>
  <si>
    <t>大森　雄介</t>
  </si>
  <si>
    <t>久瀬　真奈美</t>
  </si>
  <si>
    <t>医療法人社団　久瀬医院</t>
  </si>
  <si>
    <t>田口　由紀子</t>
  </si>
  <si>
    <t>村田　和也</t>
  </si>
  <si>
    <t>糖尿病・代謝内科</t>
  </si>
  <si>
    <t>柴崎　哲典</t>
  </si>
  <si>
    <t>内科・疼痛緩和内科</t>
  </si>
  <si>
    <t>坂部　茂俊</t>
  </si>
  <si>
    <t>循環器内科、感染症内科</t>
  </si>
  <si>
    <t>荒木　潤</t>
  </si>
  <si>
    <t>ときわまちかどクリニック</t>
  </si>
  <si>
    <t>内科、消化器内科、肝臓内科</t>
  </si>
  <si>
    <t>藤原　僚子</t>
  </si>
  <si>
    <t>ふじわらクリニック</t>
  </si>
  <si>
    <t>伊勢市常磐1丁目15番10号</t>
  </si>
  <si>
    <t>糖尿病内科</t>
  </si>
  <si>
    <t>玉木　茂久</t>
  </si>
  <si>
    <t>内藤　寛</t>
  </si>
  <si>
    <t>山﨑　正禎</t>
  </si>
  <si>
    <t>大山田　純</t>
  </si>
  <si>
    <t>おおやまだクリニック</t>
  </si>
  <si>
    <t>松田　和之</t>
  </si>
  <si>
    <t>まつだこどもクリニック</t>
  </si>
  <si>
    <t>伊勢市桜木町85番地180</t>
  </si>
  <si>
    <t>藤井　幸治</t>
  </si>
  <si>
    <t>宮　史卓</t>
  </si>
  <si>
    <t>佐藤　裕</t>
  </si>
  <si>
    <t>毛利　元信</t>
  </si>
  <si>
    <t>森　如</t>
  </si>
  <si>
    <t>日高クリニック</t>
  </si>
  <si>
    <t>水野　みどり</t>
  </si>
  <si>
    <t>山田　弘之</t>
  </si>
  <si>
    <t>福家　智仁</t>
  </si>
  <si>
    <t>頭頸部・耳鼻咽喉科</t>
  </si>
  <si>
    <t>金児　真美佳</t>
  </si>
  <si>
    <t>野口　光也</t>
  </si>
  <si>
    <t>内科（腎臓）</t>
  </si>
  <si>
    <t>谷川　高士</t>
  </si>
  <si>
    <t>杉浦　伸也</t>
  </si>
  <si>
    <t>大矢　瑛子</t>
  </si>
  <si>
    <t>内科（血液内科）</t>
  </si>
  <si>
    <t>水谷　実</t>
  </si>
  <si>
    <t>金子　昌史</t>
  </si>
  <si>
    <t>荻田　恭也</t>
  </si>
  <si>
    <t>福井　直人</t>
  </si>
  <si>
    <t>飯田　仁</t>
  </si>
  <si>
    <t>大達　清美</t>
  </si>
  <si>
    <t>川田　憲一</t>
  </si>
  <si>
    <t>小林　一彦</t>
  </si>
  <si>
    <t>福浦　竜樹</t>
  </si>
  <si>
    <t>社会医療法人畿内会　岡波総合病院</t>
  </si>
  <si>
    <t>伊賀市上之庄2711番地1</t>
  </si>
  <si>
    <t>坂井　正孝</t>
  </si>
  <si>
    <t>医療法人 さかい循環器内科クリニック</t>
  </si>
  <si>
    <t>名張市希央台3番町6番地1</t>
  </si>
  <si>
    <t>内科、消化器内科、循環器内科</t>
  </si>
  <si>
    <t>我山　秀孝</t>
  </si>
  <si>
    <t>須藤　博明</t>
  </si>
  <si>
    <t>髙尾　仁二</t>
  </si>
  <si>
    <t>新保　秀人</t>
  </si>
  <si>
    <t>朝日　理</t>
  </si>
  <si>
    <t>谷口　彰</t>
  </si>
  <si>
    <t>小平（田村）　麻子</t>
  </si>
  <si>
    <t>佐々木　良元</t>
  </si>
  <si>
    <t>伊井　裕一郎</t>
  </si>
  <si>
    <t>松尾　皇</t>
  </si>
  <si>
    <t>あけの脳神経内科クリニック</t>
  </si>
  <si>
    <t>伊勢市小俣町明野1102番地6</t>
  </si>
  <si>
    <t>島田　拓弥</t>
  </si>
  <si>
    <t>大台町介護老人保健施設みやがわ</t>
  </si>
  <si>
    <t>多気郡大台町江馬114番地</t>
  </si>
  <si>
    <t>橘　径</t>
  </si>
  <si>
    <t>松山　裕文</t>
  </si>
  <si>
    <t>冨本　秀和</t>
  </si>
  <si>
    <t>松原　年生</t>
  </si>
  <si>
    <t>三重県赤十字血液センター</t>
  </si>
  <si>
    <t>津市あのつ台4丁目8番5</t>
  </si>
  <si>
    <t>阪井田　博司</t>
  </si>
  <si>
    <t>畑崎　聖二</t>
  </si>
  <si>
    <t>鈴木　秀謙</t>
  </si>
  <si>
    <t>水野　正喜</t>
  </si>
  <si>
    <t>当麻　直樹</t>
  </si>
  <si>
    <t>佐野　貴則</t>
  </si>
  <si>
    <t>梅田　靖之</t>
  </si>
  <si>
    <t>川北　文博</t>
  </si>
  <si>
    <t>中塚　慶徳</t>
  </si>
  <si>
    <t>のぼのクリニック</t>
  </si>
  <si>
    <t>亀山市能褒野町79番地22</t>
  </si>
  <si>
    <t>内科、外科、脳神経外科、リハビリテーション科</t>
  </si>
  <si>
    <t>大石　晃嗣</t>
  </si>
  <si>
    <t>門間　文彦</t>
  </si>
  <si>
    <t>みえ在宅・内科クリニック</t>
  </si>
  <si>
    <t>桝屋　正浩</t>
  </si>
  <si>
    <t>藤枝　敦史</t>
  </si>
  <si>
    <t>片山　直之</t>
  </si>
  <si>
    <t>杉本　由香</t>
  </si>
  <si>
    <t>西川　政勝</t>
  </si>
  <si>
    <t>(一財)近畿健康管理ｾﾝﾀｰ三重事業部　KKC健康ｽｸｴｱ三重健診ｸﾘﾆｯｸ</t>
  </si>
  <si>
    <t>内科、血液内科</t>
  </si>
  <si>
    <t>宮﨑　香奈</t>
  </si>
  <si>
    <t>山口　素子</t>
  </si>
  <si>
    <t>和田　英夫</t>
  </si>
  <si>
    <t>総合内科</t>
  </si>
  <si>
    <t>田丸　智巳</t>
  </si>
  <si>
    <t>血液・腫瘍内科</t>
  </si>
  <si>
    <t>中瀬　一則</t>
  </si>
  <si>
    <t>医療法人社団俊成会　明和ファミリークリニック</t>
  </si>
  <si>
    <t>内科、血液内科、老年内科、消化器内科</t>
  </si>
  <si>
    <t>津田　憲志郎</t>
  </si>
  <si>
    <t>つだ皮膚科クリニック</t>
  </si>
  <si>
    <t>四日市市市場町字北裏3117番8</t>
  </si>
  <si>
    <t>横山　智哉</t>
  </si>
  <si>
    <t>よこやま皮ふ科クリニック</t>
  </si>
  <si>
    <t>アレルギー科、皮膚科、アレルギー科</t>
  </si>
  <si>
    <t>山際　秋沙</t>
  </si>
  <si>
    <t>磯田　憲一</t>
  </si>
  <si>
    <t>みえひふ科クリニック</t>
  </si>
  <si>
    <t>水谷　仁</t>
  </si>
  <si>
    <t>水谷皮フ科内科クリニック</t>
  </si>
  <si>
    <t>津市安東町字楠ノ木396番地4</t>
  </si>
  <si>
    <t>皮膚科、内科、アレルギー科、リウマチ科</t>
  </si>
  <si>
    <t>山中　恵一</t>
  </si>
  <si>
    <t>波部　幸司</t>
  </si>
  <si>
    <t>近藤　誠</t>
  </si>
  <si>
    <t>築留　英之</t>
  </si>
  <si>
    <t>加藤　久美子</t>
  </si>
  <si>
    <t>松井　良諭</t>
  </si>
  <si>
    <t>近藤　峰生</t>
  </si>
  <si>
    <t>生杉　謙吾</t>
  </si>
  <si>
    <t>松原　央</t>
  </si>
  <si>
    <t>小澤　摩記</t>
  </si>
  <si>
    <t>髙嶌　?布子</t>
  </si>
  <si>
    <t>岩本　彰太郎</t>
  </si>
  <si>
    <t>みえキッズ＆ファミリーホームケアクリニック</t>
  </si>
  <si>
    <t>小児科、呼吸器内科、血液内科</t>
  </si>
  <si>
    <t>平山　雅浩</t>
  </si>
  <si>
    <t>豊田　秀実</t>
  </si>
  <si>
    <t>大橋　啓之</t>
  </si>
  <si>
    <t>山口　佳子</t>
  </si>
  <si>
    <t>三谷　義英</t>
  </si>
  <si>
    <t>澤田　博文</t>
  </si>
  <si>
    <t>村田　智博</t>
  </si>
  <si>
    <t>石川　英二</t>
  </si>
  <si>
    <t>内科（腎臓センター）</t>
  </si>
  <si>
    <t>藤本　美香</t>
  </si>
  <si>
    <t>小倉　英</t>
  </si>
  <si>
    <t>白木　克哉</t>
  </si>
  <si>
    <t>稲垣　悠二</t>
  </si>
  <si>
    <t>山田　典一</t>
  </si>
  <si>
    <t>藤井　英太郎</t>
  </si>
  <si>
    <t>後藤　至</t>
  </si>
  <si>
    <t>荻原　義人</t>
  </si>
  <si>
    <t>松田　明正</t>
  </si>
  <si>
    <t>医療法人大樹会　はくさんクリニック</t>
  </si>
  <si>
    <t>内科、循環器科</t>
  </si>
  <si>
    <t>佐藤　雄一</t>
  </si>
  <si>
    <t>澤井　俊樹</t>
  </si>
  <si>
    <t>岡本　隆二</t>
  </si>
  <si>
    <t>香川　芳彦</t>
  </si>
  <si>
    <t>伊藤　正明</t>
  </si>
  <si>
    <t>熊谷　直人</t>
  </si>
  <si>
    <t>くまがい内科・循環器クリニック</t>
  </si>
  <si>
    <t>内科、リハビリテーション科、循環器内科</t>
  </si>
  <si>
    <t>藤田　聡</t>
  </si>
  <si>
    <t>増田　純</t>
  </si>
  <si>
    <t>栗山　直久</t>
  </si>
  <si>
    <t>櫻井　洋至</t>
  </si>
  <si>
    <t>伊賀市四十九町831番地</t>
  </si>
  <si>
    <t>肝胆膵外科</t>
  </si>
  <si>
    <t>臼井　正信</t>
  </si>
  <si>
    <t>緩和ケア・外科</t>
  </si>
  <si>
    <t>岸和田　昌之</t>
  </si>
  <si>
    <t>水野　修吾</t>
  </si>
  <si>
    <t>藤永　和寿</t>
  </si>
  <si>
    <t>津松阪ホームクリニック</t>
  </si>
  <si>
    <t>松阪市嬉野中川新町2丁目71パークサイドM</t>
  </si>
  <si>
    <t>内科、緩和ケア内科、外科、麻酔科</t>
  </si>
  <si>
    <t>奥田　善大</t>
  </si>
  <si>
    <t>出﨑　良輔</t>
  </si>
  <si>
    <t>村田　泰洋</t>
  </si>
  <si>
    <t>飯澤　祐介</t>
  </si>
  <si>
    <t>榊原　紀彦</t>
  </si>
  <si>
    <t>大竹　耕平</t>
  </si>
  <si>
    <t>丹羽　篤</t>
  </si>
  <si>
    <t>川村　幹雄</t>
  </si>
  <si>
    <t>消化管・小児外科</t>
  </si>
  <si>
    <t>浦城　聡子</t>
  </si>
  <si>
    <t>岩佐　元雄</t>
  </si>
  <si>
    <t>田野　俊介</t>
  </si>
  <si>
    <t>濱田　康彦</t>
  </si>
  <si>
    <t>長谷川　浩司</t>
  </si>
  <si>
    <t>葛原　正樹</t>
  </si>
  <si>
    <t>諸岡　留美</t>
  </si>
  <si>
    <t>原田　哲朗</t>
  </si>
  <si>
    <t>堀木　紀行</t>
  </si>
  <si>
    <t>田口　修</t>
  </si>
  <si>
    <t>大西　真裕</t>
  </si>
  <si>
    <t>医療法人 MinaTo おおにし呼吸器・糖尿病内科　呼春の森診療所</t>
  </si>
  <si>
    <t>内科、呼吸器内科、アレルギー内科</t>
  </si>
  <si>
    <t>鈴木　俊成</t>
  </si>
  <si>
    <t>医療法人赤塚クリニック</t>
  </si>
  <si>
    <t>津市芸濃町椋本890番地１</t>
  </si>
  <si>
    <t>内科、糖尿病内科</t>
  </si>
  <si>
    <t>安間　太郎</t>
  </si>
  <si>
    <t>矢野　裕</t>
  </si>
  <si>
    <t>武内　操</t>
  </si>
  <si>
    <t>清原　実千代</t>
  </si>
  <si>
    <t>津市北丸之内92番地</t>
  </si>
  <si>
    <t>武内　秀之</t>
  </si>
  <si>
    <t>腎臓内科・内科</t>
  </si>
  <si>
    <t>田岡　香</t>
  </si>
  <si>
    <t>島田　玲子</t>
  </si>
  <si>
    <t>北川　長生</t>
  </si>
  <si>
    <t>渡邉　清孝</t>
  </si>
  <si>
    <t>岡村　直樹</t>
  </si>
  <si>
    <t>小倉　広康</t>
  </si>
  <si>
    <t>野尻　圭一郎</t>
  </si>
  <si>
    <t>医療法人 のじり内科消化器内科</t>
  </si>
  <si>
    <t>員弁郡東員町城山1丁目23番の1</t>
  </si>
  <si>
    <t>齊藤　知規</t>
  </si>
  <si>
    <t>出口　月雄</t>
  </si>
  <si>
    <t>松岡　宏治</t>
  </si>
  <si>
    <t>まつおか内科　循環器内科</t>
  </si>
  <si>
    <t>幸治　隆文</t>
  </si>
  <si>
    <t>星野　有</t>
  </si>
  <si>
    <t>関根　隆夫</t>
  </si>
  <si>
    <t>内科（血液）</t>
  </si>
  <si>
    <t>片岡　基</t>
  </si>
  <si>
    <t>井田　裕己</t>
  </si>
  <si>
    <t>小川　裕行</t>
  </si>
  <si>
    <t>医療法人社団　Ｍ．Ｃ．Ｄ．おがわ脳神経外科クリニック</t>
  </si>
  <si>
    <t>梶川　博之</t>
  </si>
  <si>
    <t>三重県立こころの医療センター(医科)</t>
  </si>
  <si>
    <t>津市城山1丁目12番1号</t>
  </si>
  <si>
    <t>村松　正俊</t>
  </si>
  <si>
    <t>医療法人　相生　ほしみ脳神経外科</t>
  </si>
  <si>
    <t>桑名市星見ケ丘7丁目305番地</t>
  </si>
  <si>
    <t>脳神経外科、内科、リハビリテーション科</t>
  </si>
  <si>
    <t>塩野　愛</t>
  </si>
  <si>
    <t>加藤　弘幸</t>
  </si>
  <si>
    <t>小薮　助成</t>
  </si>
  <si>
    <t>三室　マヤ</t>
  </si>
  <si>
    <t>山内　一信</t>
  </si>
  <si>
    <t>内科（循環器分野）</t>
  </si>
  <si>
    <t>鳥井　孝宏</t>
  </si>
  <si>
    <t>鳥井医院</t>
  </si>
  <si>
    <t>四日市市小杉町1282</t>
  </si>
  <si>
    <t>内科、外科、胃腸科、肛門科</t>
  </si>
  <si>
    <t>丸山　良夫</t>
  </si>
  <si>
    <t>近藤　徳也</t>
  </si>
  <si>
    <t>近藤クリニック</t>
  </si>
  <si>
    <t>松阪市船江町532</t>
  </si>
  <si>
    <t>山中　猛成</t>
  </si>
  <si>
    <t>山中胃腸科クリニック</t>
  </si>
  <si>
    <t>森本　雄貴</t>
  </si>
  <si>
    <t>大橋　増生</t>
  </si>
  <si>
    <t>上田　行彦</t>
  </si>
  <si>
    <t>舟橋　整</t>
  </si>
  <si>
    <t>宗行　毅</t>
  </si>
  <si>
    <t>むねゆき内科クリニック</t>
  </si>
  <si>
    <t>桑名市大字赤尾2032ー1</t>
  </si>
  <si>
    <t>内科、消化器内科、外科</t>
  </si>
  <si>
    <t>岡　宏次</t>
  </si>
  <si>
    <t>社会医療法人　峰和会　長島回生病院</t>
  </si>
  <si>
    <t>北牟婁郡紀北町東長島2番地</t>
  </si>
  <si>
    <t>保坂　誠</t>
  </si>
  <si>
    <t>いしが在宅ケアクリニック鈴鹿</t>
  </si>
  <si>
    <t>鈴鹿市高岡町644番地2</t>
  </si>
  <si>
    <t>渡邉　泰行</t>
  </si>
  <si>
    <t>福田　亜紀</t>
  </si>
  <si>
    <t>中空　繁登</t>
  </si>
  <si>
    <t>金丸　憲司</t>
  </si>
  <si>
    <t>医療法人　敬人会　金丸脳脊椎外科クリニック</t>
  </si>
  <si>
    <t>伊賀市佐那具町804番地1</t>
  </si>
  <si>
    <t>脳神経外科、リハビリテーション科、循環器内科</t>
  </si>
  <si>
    <t>荒木　朋浩</t>
  </si>
  <si>
    <t>田中　睦子</t>
  </si>
  <si>
    <t>堀池　眞一郎</t>
  </si>
  <si>
    <t>松浦　慶太</t>
  </si>
  <si>
    <t>岩佐　真</t>
  </si>
  <si>
    <t>藤本　健</t>
  </si>
  <si>
    <t>寺内　一真</t>
  </si>
  <si>
    <t>神原　篤志</t>
  </si>
  <si>
    <t>MIE眼科四日市</t>
  </si>
  <si>
    <t>家村　順三</t>
  </si>
  <si>
    <t>宮原　雅澄</t>
  </si>
  <si>
    <t>猪木　達</t>
  </si>
  <si>
    <t>大澤　亨</t>
  </si>
  <si>
    <t>長谷川　正裕</t>
  </si>
  <si>
    <t>田中　秀明</t>
  </si>
  <si>
    <t>欠田　成人</t>
  </si>
  <si>
    <t>尾本　陽一</t>
  </si>
  <si>
    <t>医療法人　おもと皮フ科</t>
  </si>
  <si>
    <t>成田　有吾</t>
  </si>
  <si>
    <t>小川　愛</t>
  </si>
  <si>
    <t>杉浦　英美喜</t>
  </si>
  <si>
    <t>髙橋　直樹</t>
  </si>
  <si>
    <t>種村　彰洋</t>
  </si>
  <si>
    <t>大西　悠紀</t>
  </si>
  <si>
    <t>宮内　正之</t>
  </si>
  <si>
    <t>金城　昌明</t>
  </si>
  <si>
    <t>市立四日市病院（医科）</t>
  </si>
  <si>
    <t>池田　拓也</t>
  </si>
  <si>
    <t>山田　幸隆</t>
  </si>
  <si>
    <t>柴山　美紀根</t>
  </si>
  <si>
    <t>牛嶌　克実</t>
  </si>
  <si>
    <t>小林　真</t>
  </si>
  <si>
    <t>爲西　顕則</t>
  </si>
  <si>
    <t>橋本　好正</t>
  </si>
  <si>
    <t>渡邊　純二</t>
  </si>
  <si>
    <t>坂　京子</t>
  </si>
  <si>
    <t>伊藤　源士</t>
  </si>
  <si>
    <t>三重呼吸器アレルギー・内科クリニック</t>
  </si>
  <si>
    <t>四日市市高角町1563番地4</t>
  </si>
  <si>
    <t>岩出　展行</t>
  </si>
  <si>
    <t>宮下　博之</t>
  </si>
  <si>
    <t>浅田　玲緒尚</t>
  </si>
  <si>
    <t>長尾　賢治</t>
  </si>
  <si>
    <t>奥井　伸幸</t>
  </si>
  <si>
    <t>中嶋　祥子</t>
  </si>
  <si>
    <t>竹尾　哲</t>
  </si>
  <si>
    <t>たけお耳鼻咽喉科</t>
  </si>
  <si>
    <t>四日市市小杉新町153番7</t>
  </si>
  <si>
    <t>耳鼻咽喉科、アレルギー科、小児耳鼻いんこう科</t>
  </si>
  <si>
    <t>山下　良</t>
  </si>
  <si>
    <t>宮村　朋孝</t>
  </si>
  <si>
    <t>みやむら耳鼻咽喉科</t>
  </si>
  <si>
    <t>耳鼻咽喉科・アレルギー科</t>
  </si>
  <si>
    <t>桒原　好造</t>
  </si>
  <si>
    <t>一般財団法人　三重県産業衛生協会　くわな健康クリニック</t>
  </si>
  <si>
    <t>桑名市中央町三丁目23番地　桑名シティホテル2F</t>
  </si>
  <si>
    <t>川合　圭成</t>
  </si>
  <si>
    <t>藤本　昌雄</t>
  </si>
  <si>
    <t>若林　弘樹</t>
  </si>
  <si>
    <t>家田　俊明</t>
  </si>
  <si>
    <t>吉田　光宏</t>
  </si>
  <si>
    <t>市原　薫</t>
  </si>
  <si>
    <t>山脇　弘二</t>
  </si>
  <si>
    <t>菅谷　健</t>
  </si>
  <si>
    <t>河俣　浩之</t>
  </si>
  <si>
    <t>土屋　拓郎</t>
  </si>
  <si>
    <t>川名　陽介</t>
  </si>
  <si>
    <t>柳川　眞</t>
  </si>
  <si>
    <t>金原　弘幸</t>
  </si>
  <si>
    <t>朝倉　文夫</t>
  </si>
  <si>
    <t>藤本　昌志</t>
  </si>
  <si>
    <t>須川　正宏</t>
  </si>
  <si>
    <t>橋本　章</t>
  </si>
  <si>
    <t>上村　泰弘</t>
  </si>
  <si>
    <t>森本　政司</t>
  </si>
  <si>
    <t>竹上　謙次</t>
  </si>
  <si>
    <t>友田　良太</t>
  </si>
  <si>
    <t>竹内　茂人</t>
  </si>
  <si>
    <t>坂井　利行</t>
  </si>
  <si>
    <t>近藤　昌秀</t>
  </si>
  <si>
    <t>川喜田　英司</t>
  </si>
  <si>
    <t>田中　穣</t>
  </si>
  <si>
    <t>近藤　昭信</t>
  </si>
  <si>
    <t>村田　浩人</t>
  </si>
  <si>
    <t>櫻井　正人</t>
  </si>
  <si>
    <t>垣本　斉</t>
  </si>
  <si>
    <t>清水　敦哉</t>
  </si>
  <si>
    <t>脇田　喜弘</t>
  </si>
  <si>
    <t>福家　洋之</t>
  </si>
  <si>
    <t>青木　雅俊</t>
  </si>
  <si>
    <t>河埜　道夫</t>
  </si>
  <si>
    <t>小山　睦</t>
  </si>
  <si>
    <t>こやま内科消化器科</t>
  </si>
  <si>
    <t>津市久居新町3006ポルタひさい2F</t>
  </si>
  <si>
    <t>山﨑　学</t>
  </si>
  <si>
    <t>医療法人社団愛敬会　山崎外科内科</t>
  </si>
  <si>
    <t>伊勢市楠部町乙77</t>
  </si>
  <si>
    <t>内科、外科、胃腸科、肛門科、リハビリテーション科</t>
  </si>
  <si>
    <t>松尾　浩司</t>
  </si>
  <si>
    <t>まつお内科クリニック</t>
  </si>
  <si>
    <t>内科、循環器内科、腎臓内科、消化器内科</t>
  </si>
  <si>
    <t>田中　淳一朗</t>
  </si>
  <si>
    <t>医療法人　田中内科クリニック</t>
  </si>
  <si>
    <t>四日市市東日野町351番地の1</t>
  </si>
  <si>
    <t>武内　泰司郎</t>
  </si>
  <si>
    <t>種村　浩</t>
  </si>
  <si>
    <t>和田　光正</t>
  </si>
  <si>
    <t>和田眼科クリニック</t>
  </si>
  <si>
    <t>三谷　英嗣</t>
  </si>
  <si>
    <t>みその内科クリニック</t>
  </si>
  <si>
    <t>品川　直哉</t>
  </si>
  <si>
    <t>岸　具弘</t>
  </si>
  <si>
    <t>濱口　貴代</t>
  </si>
  <si>
    <t>松永　寛</t>
  </si>
  <si>
    <t>ほくせい整形外科クリニック</t>
  </si>
  <si>
    <t>三重郡菰野町永井3817</t>
  </si>
  <si>
    <t>岡田　祐二</t>
  </si>
  <si>
    <t>竹内　敏明</t>
  </si>
  <si>
    <t>菅生　昌高</t>
  </si>
  <si>
    <t>水野　修</t>
  </si>
  <si>
    <t>三輪　啓志</t>
  </si>
  <si>
    <t>矢﨑　晃</t>
  </si>
  <si>
    <t>ゆめ在宅訪問クリニック</t>
  </si>
  <si>
    <t>鈴鹿市中江島町17番15号パレスピュアⅡ　102号</t>
  </si>
  <si>
    <t>松﨑　修</t>
  </si>
  <si>
    <t>医療法人和泉会　小林胃腸科内科</t>
  </si>
  <si>
    <t>伊勢市馬瀬町1007</t>
  </si>
  <si>
    <t>胃腸内科・内科</t>
  </si>
  <si>
    <t>喜多　公雄</t>
  </si>
  <si>
    <t>医療法人　喜多医院</t>
  </si>
  <si>
    <t>名張市桔梗が丘1番町3街区39番地</t>
  </si>
  <si>
    <t>安井　のり子</t>
  </si>
  <si>
    <t>内科・老年内科</t>
  </si>
  <si>
    <t>松岡　信良</t>
  </si>
  <si>
    <t>濱口　哲也</t>
  </si>
  <si>
    <t>有馬　治美</t>
  </si>
  <si>
    <t>伊藤　由恵</t>
  </si>
  <si>
    <t>登内　仁</t>
  </si>
  <si>
    <t>坂井田　寛</t>
  </si>
  <si>
    <t>耳鼻咽喉・頭頸部外科</t>
  </si>
  <si>
    <t>信岡　祐</t>
  </si>
  <si>
    <t>伊藤　哲郎</t>
  </si>
  <si>
    <t>大野　逸孝</t>
  </si>
  <si>
    <t>河口　大介</t>
  </si>
  <si>
    <t>医療法人　河口外科</t>
  </si>
  <si>
    <t>中森　史朗</t>
  </si>
  <si>
    <t>須藤　啓広</t>
  </si>
  <si>
    <t>桑名市さくらの丘1番地</t>
  </si>
  <si>
    <t>明田　浩司</t>
  </si>
  <si>
    <t>國分　直樹</t>
  </si>
  <si>
    <t>辻井　雅也</t>
  </si>
  <si>
    <t>宮崎　晋一</t>
  </si>
  <si>
    <t>内田　恭寛</t>
  </si>
  <si>
    <t>齋藤　友季子</t>
  </si>
  <si>
    <t>向井　賢司</t>
  </si>
  <si>
    <t>加藤　憲治</t>
  </si>
  <si>
    <t>鈴木　日子</t>
  </si>
  <si>
    <t>山本　秀樹</t>
  </si>
  <si>
    <t>三枝　庄太郎</t>
  </si>
  <si>
    <t>大門病院</t>
  </si>
  <si>
    <t>津市大門1番3号</t>
  </si>
  <si>
    <t>淺沼　邦洋</t>
  </si>
  <si>
    <t>西川　拓文</t>
  </si>
  <si>
    <t>明山　達哉</t>
  </si>
  <si>
    <t>あきやま腎泌尿器科</t>
  </si>
  <si>
    <t>玉置　力也</t>
  </si>
  <si>
    <t>松原　孝夫</t>
  </si>
  <si>
    <t>まつばら整形外科クリニック</t>
  </si>
  <si>
    <t>津市城山三丁目4番25号</t>
  </si>
  <si>
    <t>佐谷　博之</t>
  </si>
  <si>
    <t>西原　淳</t>
  </si>
  <si>
    <t>にしはら整形外科スポーツクリニック</t>
  </si>
  <si>
    <t>河野　稔文</t>
  </si>
  <si>
    <t>齋藤　孝仁</t>
  </si>
  <si>
    <t>新美　塁</t>
  </si>
  <si>
    <t>にいみ整形外科</t>
  </si>
  <si>
    <t>桑名市大字赤尾2029</t>
  </si>
  <si>
    <t>清水　重利</t>
  </si>
  <si>
    <t>東谷　光庸</t>
  </si>
  <si>
    <t>医療法人　東谷医院</t>
  </si>
  <si>
    <t>消化器内科、肝臓内科</t>
  </si>
  <si>
    <t>熊本　幸司</t>
  </si>
  <si>
    <t>早﨑　碧泉</t>
  </si>
  <si>
    <t>佐藤　友昭</t>
  </si>
  <si>
    <t>雄谷　剛士</t>
  </si>
  <si>
    <t>青木　孝太</t>
  </si>
  <si>
    <t>加藤　俊夫</t>
  </si>
  <si>
    <t>伊藤　佳之</t>
  </si>
  <si>
    <t>竹内　謙二</t>
  </si>
  <si>
    <t>三﨑　盛治</t>
  </si>
  <si>
    <t>井本　一郎</t>
  </si>
  <si>
    <t>岡　聖子</t>
  </si>
  <si>
    <t>毛利　智美</t>
  </si>
  <si>
    <t>青木　俊和</t>
  </si>
  <si>
    <t>田中　淳子</t>
  </si>
  <si>
    <t>吉田　正道</t>
  </si>
  <si>
    <t>亀田　陽一</t>
  </si>
  <si>
    <t>医療法人泉澄会　亀田クリニック</t>
  </si>
  <si>
    <t>櫻井　直人</t>
  </si>
  <si>
    <t>柴田　宗宏</t>
  </si>
  <si>
    <t>しばた内科循環器科</t>
  </si>
  <si>
    <t>内科、循環器科、呼吸器科、消化器科</t>
  </si>
  <si>
    <t>中森　良樹</t>
  </si>
  <si>
    <t>鳥羽市立菅島診療所</t>
  </si>
  <si>
    <t>鳥羽市菅島町46</t>
  </si>
  <si>
    <t>馬場　優</t>
  </si>
  <si>
    <t>山本　憲彦</t>
  </si>
  <si>
    <t>三枝　ふみの</t>
  </si>
  <si>
    <t>西川　隆太郎</t>
  </si>
  <si>
    <t>濵口　吉克</t>
  </si>
  <si>
    <t>松島　聡</t>
  </si>
  <si>
    <t>奥田　喜朗</t>
  </si>
  <si>
    <t>小出　章</t>
  </si>
  <si>
    <t>医療法人吉田クリニック</t>
  </si>
  <si>
    <t>外科、胃腸科(消化器科）</t>
  </si>
  <si>
    <t>呼吸器内科、内科</t>
  </si>
  <si>
    <t>山田　敦</t>
  </si>
  <si>
    <t>四日市やまだ眼科</t>
  </si>
  <si>
    <t>中村　毅</t>
  </si>
  <si>
    <t>山守　越子</t>
  </si>
  <si>
    <t>桑名市多度町柚井字境川132番地</t>
  </si>
  <si>
    <t>内科(内分泌代謝科）</t>
  </si>
  <si>
    <t>東山　浩敬</t>
  </si>
  <si>
    <t>東山胃腸科内科</t>
  </si>
  <si>
    <t>伊勢市小俣町元町1159</t>
  </si>
  <si>
    <t>胃腸内科、消化器科、内科</t>
  </si>
  <si>
    <t>大西　正浩</t>
  </si>
  <si>
    <t>医療法人社団大西内科</t>
  </si>
  <si>
    <t>松阪市駅部田町232</t>
  </si>
  <si>
    <t>内科・呼吸器科</t>
  </si>
  <si>
    <t>石田　藤麿</t>
  </si>
  <si>
    <t>堀江クリニック</t>
  </si>
  <si>
    <t>松阪市鎌田町234番地の1</t>
  </si>
  <si>
    <t>小倉　正臣</t>
  </si>
  <si>
    <t>中村　美咲</t>
  </si>
  <si>
    <t>二宮　克仁</t>
  </si>
  <si>
    <t>二宮メディカルクリニック</t>
  </si>
  <si>
    <t>大矢　由美</t>
  </si>
  <si>
    <t>久瀬　雅也</t>
  </si>
  <si>
    <t>度会郡玉城町佐田1750</t>
  </si>
  <si>
    <t>山口　元子</t>
  </si>
  <si>
    <t>医療法人　山口眼科</t>
  </si>
  <si>
    <t>阪井　貴久</t>
  </si>
  <si>
    <t>さかい内科クリニック</t>
  </si>
  <si>
    <t>山川　伸隆</t>
  </si>
  <si>
    <t>医療法人　いせ山川クリニック</t>
  </si>
  <si>
    <t>伊勢市小木町557</t>
  </si>
  <si>
    <t>小川　由起子</t>
  </si>
  <si>
    <t>ゆたクリニック</t>
  </si>
  <si>
    <t>湯田　厚司</t>
  </si>
  <si>
    <t>多湖　光宗</t>
  </si>
  <si>
    <t>ウエルネス医療クリニック</t>
  </si>
  <si>
    <t>桑名市新西方3丁目218</t>
  </si>
  <si>
    <t>明田　智子</t>
  </si>
  <si>
    <t>和泉　憲政</t>
  </si>
  <si>
    <t>医療法人順裕会　いずみ耳鼻咽喉科・アレルギー科</t>
  </si>
  <si>
    <t>志摩市阿児町鵜方5017</t>
  </si>
  <si>
    <t>津田　和彦</t>
  </si>
  <si>
    <t>大井　徹</t>
  </si>
  <si>
    <t>大西　始</t>
  </si>
  <si>
    <t>井田　諭</t>
  </si>
  <si>
    <t>金児　竜太郎</t>
  </si>
  <si>
    <t>いこか内科</t>
  </si>
  <si>
    <t>津市城山1丁目17番17号</t>
  </si>
  <si>
    <t>桑原　優</t>
  </si>
  <si>
    <t>和田　泉</t>
  </si>
  <si>
    <t>医療法人福和会福??眼科</t>
  </si>
  <si>
    <t>松阪市本町2221</t>
  </si>
  <si>
    <t>長倉　剛</t>
  </si>
  <si>
    <t>医療法人社団　孝友会　ながくら整形外科</t>
  </si>
  <si>
    <t>津市戸木町7838番1</t>
  </si>
  <si>
    <t>小林　徹也</t>
  </si>
  <si>
    <t>四日市整形外科</t>
  </si>
  <si>
    <t>医療法人　杉山整形外科</t>
  </si>
  <si>
    <t>曽我　かおり</t>
  </si>
  <si>
    <t>たるさかこどもクリニック</t>
  </si>
  <si>
    <t>伊野　和子</t>
  </si>
  <si>
    <t>品川　正</t>
  </si>
  <si>
    <t>品川医院</t>
  </si>
  <si>
    <t>四日市市川島町7390</t>
  </si>
  <si>
    <t>木平　健太郎</t>
  </si>
  <si>
    <t>きのここどもクリニック</t>
  </si>
  <si>
    <t>天野　敬史郎</t>
  </si>
  <si>
    <t>赤塚　元</t>
  </si>
  <si>
    <t>内科、糖尿病内科、消化器内科</t>
  </si>
  <si>
    <t>八木　宗彦</t>
  </si>
  <si>
    <t>八木皮フ科クリニック</t>
  </si>
  <si>
    <t>中原　博紀</t>
  </si>
  <si>
    <t>松井　俊樹</t>
  </si>
  <si>
    <t>森田　哲正</t>
  </si>
  <si>
    <t>矢田　健一郎</t>
  </si>
  <si>
    <t>まえのへた脳神経クリニック</t>
  </si>
  <si>
    <t>神経内科、内科、脳神経外科</t>
  </si>
  <si>
    <t>西口　健</t>
  </si>
  <si>
    <t>とみだ皮膚科</t>
  </si>
  <si>
    <t>藤田　浩弥</t>
  </si>
  <si>
    <t>医療法人　羽山クリニック</t>
  </si>
  <si>
    <t>鈴鹿市庄野羽山二丁目6番3号</t>
  </si>
  <si>
    <t>内科（循環器・呼吸器）・外科</t>
  </si>
  <si>
    <t>小澤　和人</t>
  </si>
  <si>
    <t>おざわ整形外科</t>
  </si>
  <si>
    <t>稲上　憲一</t>
  </si>
  <si>
    <t>稻上耳鼻咽喉科・気管食道科</t>
  </si>
  <si>
    <t>耳鼻咽喉科、気管食道科</t>
  </si>
  <si>
    <t>尾崎　守宏</t>
  </si>
  <si>
    <t>おざき内科クリニック</t>
  </si>
  <si>
    <t>稲垣　政志</t>
  </si>
  <si>
    <t>医療法人　稲垣耳鼻咽喉科</t>
  </si>
  <si>
    <t>湯浅　湖</t>
  </si>
  <si>
    <t>加納　右一郎</t>
  </si>
  <si>
    <t>医療法人 高野尾クリニック</t>
  </si>
  <si>
    <t>久志本　忠彦</t>
  </si>
  <si>
    <t>くしもと整形外科</t>
  </si>
  <si>
    <t>赤坂　義和</t>
  </si>
  <si>
    <t>伊藤　豊</t>
  </si>
  <si>
    <t>四日市腎クリニック</t>
  </si>
  <si>
    <t>四日市市生桑町291番地1</t>
  </si>
  <si>
    <t>人工透析内科</t>
  </si>
  <si>
    <t>浦出　伸治</t>
  </si>
  <si>
    <t>後藤　智紀</t>
  </si>
  <si>
    <t>土肥　薫</t>
  </si>
  <si>
    <t>坂口　充弘</t>
  </si>
  <si>
    <t>古田　基靖</t>
  </si>
  <si>
    <t>仁儀　陽子</t>
  </si>
  <si>
    <t>山崎　晃裕</t>
  </si>
  <si>
    <t>うじやまだ内科クリニック</t>
  </si>
  <si>
    <t>土井　梨枝</t>
  </si>
  <si>
    <t>のだ内科・リウマチ膠原病・訪問診療クリニック</t>
  </si>
  <si>
    <t>桑名市大字赤尾1344番地3</t>
  </si>
  <si>
    <t>近藤　久</t>
  </si>
  <si>
    <t>近藤小児科医院</t>
  </si>
  <si>
    <t>竹澤　有美子</t>
  </si>
  <si>
    <t>医療法人　友和会　たけざわクリニック</t>
  </si>
  <si>
    <t>伊賀市小田町749番地の1</t>
  </si>
  <si>
    <t>藤本　直紀</t>
  </si>
  <si>
    <t>藤田　祐一</t>
  </si>
  <si>
    <t>中川　太郎</t>
  </si>
  <si>
    <t>医療法人　なかがわ整形外科リハビリクリニック</t>
  </si>
  <si>
    <t>桑名市江場456番地3</t>
  </si>
  <si>
    <t>整形外科・リハビリテーション科・リウマチ科・ペインクリニック内科</t>
  </si>
  <si>
    <t>西村　秀敏</t>
  </si>
  <si>
    <t>医療法人　西浦クリニック</t>
  </si>
  <si>
    <t>内科・循環器内科・消化器内科・呼吸器内科・代謝内科・小児科</t>
  </si>
  <si>
    <t>岩島　重二郎</t>
  </si>
  <si>
    <t>鈴鹿腎クリニック</t>
  </si>
  <si>
    <t>鈴鹿市安塚町880番地</t>
  </si>
  <si>
    <t>杉本　真也</t>
  </si>
  <si>
    <t>西井　奈々</t>
  </si>
  <si>
    <t>安田　尚樹</t>
  </si>
  <si>
    <t>医療法人妙光会安田小児科内科</t>
  </si>
  <si>
    <t>南山　誠</t>
  </si>
  <si>
    <t>今野　信太郎</t>
  </si>
  <si>
    <t>今野眼科</t>
  </si>
  <si>
    <t>津市中央11番3号</t>
  </si>
  <si>
    <t>中野　明夫</t>
  </si>
  <si>
    <t>武井　英之</t>
  </si>
  <si>
    <t>橋本　清</t>
  </si>
  <si>
    <t>サンクリニック太陽の街</t>
  </si>
  <si>
    <t>内科、外科、消化器内科</t>
  </si>
  <si>
    <t>半田　忠洋</t>
  </si>
  <si>
    <t>とまり整形外科</t>
  </si>
  <si>
    <t>倉田　竜也</t>
  </si>
  <si>
    <t>くらた整形外科リハビリクリニック</t>
  </si>
  <si>
    <t>新谷　卓也</t>
  </si>
  <si>
    <t>竹内　万彦</t>
  </si>
  <si>
    <t>石永　一</t>
  </si>
  <si>
    <t>耳鼻いんこう科、頭頸部外科</t>
  </si>
  <si>
    <t>小林　正佳</t>
  </si>
  <si>
    <t>北野　雅子</t>
  </si>
  <si>
    <t>中村　哲</t>
  </si>
  <si>
    <t>なかむら耳鼻咽喉科</t>
  </si>
  <si>
    <t>西田　幸平</t>
  </si>
  <si>
    <t>伊藤　芳幸</t>
  </si>
  <si>
    <t>すずかいとう皮膚科クリニック</t>
  </si>
  <si>
    <t>アレルギー科、皮膚科</t>
  </si>
  <si>
    <t>今村　進吾</t>
  </si>
  <si>
    <t>医療法人優進会　いまむら整形外科</t>
  </si>
  <si>
    <t>伊賀市久米町字大坪666番地</t>
  </si>
  <si>
    <t>松井　好人</t>
  </si>
  <si>
    <t>松井医院</t>
  </si>
  <si>
    <t>志摩市志摩町布施田392</t>
  </si>
  <si>
    <t>田中　元也</t>
  </si>
  <si>
    <t>田中医院</t>
  </si>
  <si>
    <t>山口　敏郎</t>
  </si>
  <si>
    <t>杉村　芳樹</t>
  </si>
  <si>
    <t>島本　亮</t>
  </si>
  <si>
    <t>田中　匡介</t>
  </si>
  <si>
    <t>油田　尚総</t>
  </si>
  <si>
    <t>西村　泰豪</t>
  </si>
  <si>
    <t>医療法人西村内科小児科</t>
  </si>
  <si>
    <t>右京　久樹</t>
  </si>
  <si>
    <t>鎌田　尚樹</t>
  </si>
  <si>
    <t>小児科・新生児科</t>
  </si>
  <si>
    <t>神谷　敏也</t>
  </si>
  <si>
    <t>池山　夕起子</t>
  </si>
  <si>
    <t>佐藤　昌良</t>
  </si>
  <si>
    <t>村島　一平</t>
  </si>
  <si>
    <t>医療法人 むらしま整形外科</t>
  </si>
  <si>
    <t>鈴木　賢二</t>
  </si>
  <si>
    <t>黒木　香行</t>
  </si>
  <si>
    <t>吉川　智朗</t>
  </si>
  <si>
    <t>時女　和也</t>
  </si>
  <si>
    <t>ときめ皮膚科クリニック</t>
  </si>
  <si>
    <t>小児科（新生児科）</t>
  </si>
  <si>
    <t>内薗　広匡</t>
  </si>
  <si>
    <t>大森　あゆ美</t>
  </si>
  <si>
    <t>鈴木　仁之</t>
  </si>
  <si>
    <t>心臓血管外科・呼吸器外科</t>
  </si>
  <si>
    <t>北尾　淳</t>
  </si>
  <si>
    <t>森川　将行</t>
  </si>
  <si>
    <t>八尾　隆治</t>
  </si>
  <si>
    <t>園田　浩生</t>
  </si>
  <si>
    <t>東　良久</t>
  </si>
  <si>
    <t>坂倉　美佐</t>
  </si>
  <si>
    <t>坂倉眼科クリニック</t>
  </si>
  <si>
    <t>津市上弁財町11番28号</t>
  </si>
  <si>
    <t>勝木　顕</t>
  </si>
  <si>
    <t>医療法人かつき内科</t>
  </si>
  <si>
    <t>亀山市東町一丁目2番19号2</t>
  </si>
  <si>
    <t>伊藤　彰博</t>
  </si>
  <si>
    <t>倉井　峰弘</t>
  </si>
  <si>
    <t>さかとく小児科</t>
  </si>
  <si>
    <t>アレルギー科、小児科</t>
  </si>
  <si>
    <t>兼児　敏浩</t>
  </si>
  <si>
    <t>猪木　敬子</t>
  </si>
  <si>
    <t>乾　多久夫</t>
  </si>
  <si>
    <t>津市雲出本郷町荒木1918</t>
  </si>
  <si>
    <t>内科・消化器内科・呼吸器内科・循環器内科</t>
  </si>
  <si>
    <t>井田　美貴男</t>
  </si>
  <si>
    <t>鈴木　慎也</t>
  </si>
  <si>
    <t>安田　正樹</t>
  </si>
  <si>
    <t>やすだクリニック</t>
  </si>
  <si>
    <t>名張市鴻之台1番町15番地</t>
  </si>
  <si>
    <t>笠井　智佳</t>
  </si>
  <si>
    <t>垂見　敏明</t>
  </si>
  <si>
    <t>垂見内科クリニック</t>
  </si>
  <si>
    <t>松阪市小津町274</t>
  </si>
  <si>
    <t>森川　文博</t>
  </si>
  <si>
    <t>医療法人森川病院</t>
  </si>
  <si>
    <t>内科、産婦人科</t>
  </si>
  <si>
    <t>松田　吉人</t>
  </si>
  <si>
    <t>根本　明喜</t>
  </si>
  <si>
    <t>坂倉　美穂</t>
  </si>
  <si>
    <t>坂倉内科医院</t>
  </si>
  <si>
    <t>中村　祐</t>
  </si>
  <si>
    <t>松阪市大黒田町971</t>
  </si>
  <si>
    <t>吉尾　裕子</t>
  </si>
  <si>
    <t>早川　弘輝</t>
  </si>
  <si>
    <t>医療法人　鈴鹿クリニック</t>
  </si>
  <si>
    <t>内科・外科・消化器科・肛門科・リハビリテーション科</t>
  </si>
  <si>
    <t>田中病院</t>
  </si>
  <si>
    <t>加藤　奈津子</t>
  </si>
  <si>
    <t>服部　日東美</t>
  </si>
  <si>
    <t>ひとみウィメンズクリニック</t>
  </si>
  <si>
    <t>三重郡菰野町大羽根園並木通り10番地1</t>
  </si>
  <si>
    <t>尾池　徹也</t>
  </si>
  <si>
    <t>医療法人　尾池整形外科</t>
  </si>
  <si>
    <t>加藤　昭彦</t>
  </si>
  <si>
    <t>医療法人　かとう耳鼻咽喉科</t>
  </si>
  <si>
    <t>伊勢市小木町183番地1</t>
  </si>
  <si>
    <t>林　琢巳</t>
  </si>
  <si>
    <t>林耳鼻咽喉科クリニック</t>
  </si>
  <si>
    <t>中島　紳太郎</t>
  </si>
  <si>
    <t>樋口　真知子</t>
  </si>
  <si>
    <t>川村小児科クリニック</t>
  </si>
  <si>
    <t>髙橋　宏佳</t>
  </si>
  <si>
    <t>山田　晋太朗</t>
  </si>
  <si>
    <t>こもの風の丘内科クリニック</t>
  </si>
  <si>
    <t>鈴村　栄久</t>
  </si>
  <si>
    <t>医療法人　とよだ会　鈴村耳鼻咽喉科</t>
  </si>
  <si>
    <t>中村　泰</t>
  </si>
  <si>
    <t>医療法人向陽会中村内科循環器科クリニック</t>
  </si>
  <si>
    <t>野村　英毅</t>
  </si>
  <si>
    <t>原田　輝彦</t>
  </si>
  <si>
    <t>原田耳鼻咽喉科</t>
  </si>
  <si>
    <t>原田　泉</t>
  </si>
  <si>
    <t>市川　健</t>
  </si>
  <si>
    <t>平山　淳也</t>
  </si>
  <si>
    <t>髙橋　佳紀</t>
  </si>
  <si>
    <t>みずほ台クリニック</t>
  </si>
  <si>
    <t>舘　秀幸</t>
  </si>
  <si>
    <t>桑名クリニック</t>
  </si>
  <si>
    <t>内科、小児科、腎臓内科</t>
  </si>
  <si>
    <t>廣田　久佳</t>
  </si>
  <si>
    <t>坂井橋クリニック</t>
  </si>
  <si>
    <t>栗岡　孝明</t>
  </si>
  <si>
    <t>石川　英洋</t>
  </si>
  <si>
    <t>新堂　晃大</t>
  </si>
  <si>
    <t>野田　成哉</t>
  </si>
  <si>
    <t>村上　舞子</t>
  </si>
  <si>
    <t>宇治　幸隆</t>
  </si>
  <si>
    <t>宇治眼科</t>
  </si>
  <si>
    <t>北原　義介</t>
  </si>
  <si>
    <t>山本　暢朋</t>
  </si>
  <si>
    <t>独立行政法人国立病院機構　榊原病院</t>
  </si>
  <si>
    <t>精神、神経科</t>
  </si>
  <si>
    <t>森下　浩一郎</t>
  </si>
  <si>
    <t>医療法人もりした整形外科</t>
  </si>
  <si>
    <t>四日市市山之一色町2414番地1</t>
  </si>
  <si>
    <t>金丸　英樹</t>
  </si>
  <si>
    <t>外村　宗一</t>
  </si>
  <si>
    <t>木村　英夫</t>
  </si>
  <si>
    <t>旭が丘ファミリークリニック</t>
  </si>
  <si>
    <t>濵田　和秀</t>
  </si>
  <si>
    <t>矢﨑　順二</t>
  </si>
  <si>
    <t>すずか泌尿器科・腎クリニック</t>
  </si>
  <si>
    <t>泌尿器科、腎臓内科</t>
  </si>
  <si>
    <t>五嶋　博道</t>
  </si>
  <si>
    <t>小林　基之</t>
  </si>
  <si>
    <t>三重県厚生農業協同組合連合会松阪中央総合病院</t>
  </si>
  <si>
    <t>松田　信介</t>
  </si>
  <si>
    <t>川口　信也</t>
  </si>
  <si>
    <t>川口耳鼻咽喉科</t>
  </si>
  <si>
    <t>杉浦　寧</t>
  </si>
  <si>
    <t>杉浦医院</t>
  </si>
  <si>
    <t>市川　尚己</t>
  </si>
  <si>
    <t>位田　正明</t>
  </si>
  <si>
    <t>医療法人　位田内科循環器科</t>
  </si>
  <si>
    <t>内科、循環器科、呼吸器科、胃腸科、小児科、リハビリテーション科</t>
  </si>
  <si>
    <t>整形外科、リハビリテーション科、リウマチ科</t>
  </si>
  <si>
    <t>牧野　克俊</t>
  </si>
  <si>
    <t>青木　聡一郎</t>
  </si>
  <si>
    <t>とういん内科・ハートクリニック</t>
  </si>
  <si>
    <t>員弁郡東員町長深885番地1</t>
  </si>
  <si>
    <t>太田　啓雄</t>
  </si>
  <si>
    <t>医療法人 いくわ眼科</t>
  </si>
  <si>
    <t>小寺　仁</t>
  </si>
  <si>
    <t>竹尾　雅樹</t>
  </si>
  <si>
    <t>医療法人大雅会　竹尾内科クリニック</t>
  </si>
  <si>
    <t>冨室　哲也</t>
  </si>
  <si>
    <t>医療法人とみむろクリニック</t>
  </si>
  <si>
    <t>安冨　倫子</t>
  </si>
  <si>
    <t>井谷　英敏</t>
  </si>
  <si>
    <t>伊勢市船江1丁目471番2</t>
  </si>
  <si>
    <t>村田　耕一郎</t>
  </si>
  <si>
    <t>野口　智史</t>
  </si>
  <si>
    <t>紀伊長島クリニック</t>
  </si>
  <si>
    <t>消化器内科・外科</t>
  </si>
  <si>
    <t>岡　晃子</t>
  </si>
  <si>
    <t>やましたこどもクリニック</t>
  </si>
  <si>
    <t>猪谷　健</t>
  </si>
  <si>
    <t>医療法人　愛心会　イタニ・クリニック</t>
  </si>
  <si>
    <t>沖上　正人</t>
  </si>
  <si>
    <t>医療法人　聡修会　おきがみクリニック</t>
  </si>
  <si>
    <t>内科、消化器内科、外科、肛門外科</t>
  </si>
  <si>
    <t>黒部　美智子</t>
  </si>
  <si>
    <t>上村　明</t>
  </si>
  <si>
    <t>諸岡　芳人</t>
  </si>
  <si>
    <t>玉井　康将</t>
  </si>
  <si>
    <t>松阪市山室町2275</t>
  </si>
  <si>
    <t>大森　隆夫</t>
  </si>
  <si>
    <t>西村　善幸</t>
  </si>
  <si>
    <t>藤原　研太郎</t>
  </si>
  <si>
    <t>波部　尚美</t>
  </si>
  <si>
    <t>谷村　宗義</t>
  </si>
  <si>
    <t>杉本　龍亮</t>
  </si>
  <si>
    <t>すぎもと内科クリニック</t>
  </si>
  <si>
    <t>四日市市久保田２丁目１４番地２６号</t>
  </si>
  <si>
    <t>古田　範子</t>
  </si>
  <si>
    <t>水谷　あかね</t>
  </si>
  <si>
    <t>中川　勇希</t>
  </si>
  <si>
    <t>三好　美穂</t>
  </si>
  <si>
    <t>内科、糖尿病内分泌内科</t>
  </si>
  <si>
    <t>村上　あゆ香</t>
  </si>
  <si>
    <t>鵜飼　幸太郎</t>
  </si>
  <si>
    <t>鵜飼耳鼻咽喉科・アレルギー科</t>
  </si>
  <si>
    <t>耳鼻咽喉科、アレルギー科</t>
  </si>
  <si>
    <t>加藤　弘明</t>
  </si>
  <si>
    <t>木村　充志</t>
  </si>
  <si>
    <t>成島　三長</t>
  </si>
  <si>
    <t>中西　浩隆</t>
  </si>
  <si>
    <t>丸山　浩高</t>
  </si>
  <si>
    <t>城　祐輔</t>
  </si>
  <si>
    <t>城医院</t>
  </si>
  <si>
    <t>伊賀市別府162番地</t>
  </si>
  <si>
    <t>毛利　靖彦</t>
  </si>
  <si>
    <t>福島　達樹</t>
  </si>
  <si>
    <t>ふくしま整形外科クリニック</t>
  </si>
  <si>
    <t>鈴鹿市三日市町1964</t>
  </si>
  <si>
    <t>山下　勝也</t>
  </si>
  <si>
    <t>堀　靖英</t>
  </si>
  <si>
    <t>亀山腎・泌尿器科クリニック</t>
  </si>
  <si>
    <t>武内　哲史郎</t>
  </si>
  <si>
    <t>内藤　雅大</t>
  </si>
  <si>
    <t>堀　康太郎</t>
  </si>
  <si>
    <t>塚本　正</t>
  </si>
  <si>
    <t>横山　弘和</t>
  </si>
  <si>
    <t>稲持　英樹</t>
  </si>
  <si>
    <t>なばりこどもクリニック</t>
  </si>
  <si>
    <t>名張市鴻之台3番町24番地2</t>
  </si>
  <si>
    <t>若松　亮</t>
  </si>
  <si>
    <t>杉本　和史</t>
  </si>
  <si>
    <t>鈴木　康夫</t>
  </si>
  <si>
    <t>医療法人田中病院　伊勢田中病院</t>
  </si>
  <si>
    <t>竹上　德彦</t>
  </si>
  <si>
    <t>道傳　整</t>
  </si>
  <si>
    <t>どうでんクリニック</t>
  </si>
  <si>
    <t>内科、脳神経内科</t>
  </si>
  <si>
    <t>中島　亜矢子</t>
  </si>
  <si>
    <t>リウマチ科</t>
  </si>
  <si>
    <t>桑田　真臣</t>
  </si>
  <si>
    <t>東川　朋子</t>
  </si>
  <si>
    <t>片山　鑑</t>
  </si>
  <si>
    <t>前沢　義典</t>
  </si>
  <si>
    <t>三浦　洋一</t>
  </si>
  <si>
    <t>神田　恵介</t>
  </si>
  <si>
    <t>かんだ小児科</t>
  </si>
  <si>
    <t>伊勢市宮後3丁目2番10号</t>
  </si>
  <si>
    <t>みやた眼科</t>
  </si>
  <si>
    <t>井上　健太郎</t>
  </si>
  <si>
    <t>胸部外科</t>
  </si>
  <si>
    <t>星野　康三</t>
  </si>
  <si>
    <t>成田　正明</t>
  </si>
  <si>
    <t>宮﨑　満利子</t>
  </si>
  <si>
    <t>四日市ヒフ科クリニック</t>
  </si>
  <si>
    <t>曽根　由人</t>
  </si>
  <si>
    <t>澤田　康裕</t>
  </si>
  <si>
    <t>さわだ内科外科クリニック</t>
  </si>
  <si>
    <t>内科、外科、心臓血管外科、小児科、皮膚科、整形外科</t>
  </si>
  <si>
    <t>柿本　拓也</t>
  </si>
  <si>
    <t>矢田　祐基</t>
  </si>
  <si>
    <t>吉澤　尚彦</t>
  </si>
  <si>
    <t>いのうクリニック</t>
  </si>
  <si>
    <t>浦吉　俊輔</t>
  </si>
  <si>
    <t>服部　知明</t>
  </si>
  <si>
    <t>川越あさひ眼科</t>
  </si>
  <si>
    <t>淀谷　典子</t>
  </si>
  <si>
    <t>岡本　耕典</t>
  </si>
  <si>
    <t>おかもと耳鼻咽喉科</t>
  </si>
  <si>
    <t>遠藤　真由美</t>
  </si>
  <si>
    <t>西脇　亮</t>
  </si>
  <si>
    <t>宇野　研一郎</t>
  </si>
  <si>
    <t>脳神経内科・内科</t>
  </si>
  <si>
    <t>一尾　享史</t>
  </si>
  <si>
    <t>齋藤　真一</t>
  </si>
  <si>
    <t>今岡　裕基</t>
  </si>
  <si>
    <t>樋口　成臣</t>
  </si>
  <si>
    <t>とうかい整形外科かわげ</t>
  </si>
  <si>
    <t>井上　靖浩</t>
  </si>
  <si>
    <t>森　浩一郎</t>
  </si>
  <si>
    <t>宮田　真衣</t>
  </si>
  <si>
    <t>服部　徹也</t>
  </si>
  <si>
    <t>伊藤　有平</t>
  </si>
  <si>
    <t>リウマチ・膠原病センター</t>
  </si>
  <si>
    <t>宮田　和明</t>
  </si>
  <si>
    <t>瀧川　慎也</t>
  </si>
  <si>
    <t>藤村　侑</t>
  </si>
  <si>
    <t>山中　崇</t>
  </si>
  <si>
    <t>丸岡　隆芳</t>
  </si>
  <si>
    <t>丸岡医院</t>
  </si>
  <si>
    <t>内科・循環器科・呼吸器科・リハビリテーション科</t>
  </si>
  <si>
    <t>若生　里奈</t>
  </si>
  <si>
    <t>広石　将行</t>
  </si>
  <si>
    <t>西口　大和</t>
  </si>
  <si>
    <t>野々山　宏</t>
  </si>
  <si>
    <t>野々山耳鼻咽喉科</t>
  </si>
  <si>
    <t>田中　光司</t>
  </si>
  <si>
    <t>浅野　貴裕</t>
  </si>
  <si>
    <t>中井　康雄</t>
  </si>
  <si>
    <t>なかい皮フ科クリニック</t>
  </si>
  <si>
    <t>木田　朱美</t>
  </si>
  <si>
    <t>森田　雅也</t>
  </si>
  <si>
    <t>伊藤　浩司</t>
  </si>
  <si>
    <t>牧江　俊雄</t>
  </si>
  <si>
    <t>内藤　陽平</t>
  </si>
  <si>
    <t>刀根　慎恵</t>
  </si>
  <si>
    <t>増田　智広</t>
  </si>
  <si>
    <t>腎臓内科、人工透析内科</t>
  </si>
  <si>
    <t>衣川　和良</t>
  </si>
  <si>
    <t>平田　佳寛</t>
  </si>
  <si>
    <t>森　真義</t>
  </si>
  <si>
    <t>医療法人　桑名もり内科</t>
  </si>
  <si>
    <t>桑名市大字西方499番地</t>
  </si>
  <si>
    <t>内科、腎臓内科</t>
  </si>
  <si>
    <t>中村　文香</t>
  </si>
  <si>
    <t>中村整形外科皮フ科</t>
  </si>
  <si>
    <t>皮膚科、美容皮膚科</t>
  </si>
  <si>
    <t>野田　健太朗</t>
  </si>
  <si>
    <t>内科、リウマチ科、アレルギー疾患内科</t>
  </si>
  <si>
    <t>矢田　公</t>
  </si>
  <si>
    <t>問山　裕二</t>
  </si>
  <si>
    <t>長尾　信人</t>
  </si>
  <si>
    <t>山田　淳一</t>
  </si>
  <si>
    <t>海野　啓</t>
  </si>
  <si>
    <t>伴　直昭</t>
  </si>
  <si>
    <t>ばんクリニック</t>
  </si>
  <si>
    <t>内科・呼吸器内科・アレルギー科</t>
  </si>
  <si>
    <t>濱岡　志麻</t>
  </si>
  <si>
    <t>飯田　浩次</t>
  </si>
  <si>
    <t>医療法人　いいだ整形外科</t>
  </si>
  <si>
    <t>野田　真理子</t>
  </si>
  <si>
    <t>梅村　臣吾</t>
  </si>
  <si>
    <t>鈴木　悟</t>
  </si>
  <si>
    <t>三木　恵美子</t>
  </si>
  <si>
    <t>衣斐　達</t>
  </si>
  <si>
    <t>田中　健太郎</t>
  </si>
  <si>
    <t>公益社団法人地域医療振興協会　鳥羽市立長岡診療所</t>
  </si>
  <si>
    <t>田中　宏樹</t>
  </si>
  <si>
    <t>藤井　勇佑</t>
  </si>
  <si>
    <t>菅田　健</t>
  </si>
  <si>
    <t>磯野　功明</t>
  </si>
  <si>
    <t>来田　大平</t>
  </si>
  <si>
    <t>みえロコモリウマチクリニック</t>
  </si>
  <si>
    <t>布目　貴康</t>
  </si>
  <si>
    <t>二宮　豪</t>
  </si>
  <si>
    <t>にのみやクリニック内科外科</t>
  </si>
  <si>
    <t>中村　直子</t>
  </si>
  <si>
    <t>杉野　典子</t>
  </si>
  <si>
    <t>山内　洋介</t>
  </si>
  <si>
    <t>員弁郡東員町穴太2000番地</t>
  </si>
  <si>
    <t>田中　翔太</t>
  </si>
  <si>
    <t>たなかファミリークリニック</t>
  </si>
  <si>
    <t>名張市つつじが丘北5番町30</t>
  </si>
  <si>
    <t>内科、消化器内科、内視鏡内科、小児科</t>
  </si>
  <si>
    <t>天満　有美帆</t>
  </si>
  <si>
    <t>福喜多　晃平</t>
  </si>
  <si>
    <t>医療法人　啓晃会　福喜多耳鼻咽喉科</t>
  </si>
  <si>
    <t>西川　健一郎</t>
  </si>
  <si>
    <t>にしかわファミリークリニック</t>
  </si>
  <si>
    <t>内科、消化器内科、消化器外科</t>
  </si>
  <si>
    <t>都丸　敦史</t>
  </si>
  <si>
    <t>西濵　康太</t>
  </si>
  <si>
    <t>橋本　礼</t>
  </si>
  <si>
    <t>堀田　康広</t>
  </si>
  <si>
    <t>医療法人社団藤原会　桑名メディカルクリニック</t>
  </si>
  <si>
    <t>糖尿病内科、内分泌内科、内科、小児科、漢方内科</t>
  </si>
  <si>
    <t>寺田　紀彦</t>
  </si>
  <si>
    <t>大杉　和生</t>
  </si>
  <si>
    <t>中村　憲二</t>
  </si>
  <si>
    <t>一宮　仁</t>
  </si>
  <si>
    <t>市岡　希典</t>
  </si>
  <si>
    <t>日浅　厚則</t>
  </si>
  <si>
    <t>和田　興一郎</t>
  </si>
  <si>
    <t>和田医院</t>
  </si>
  <si>
    <t>熊野市井戸町4986</t>
  </si>
  <si>
    <t>千葉　真由美</t>
  </si>
  <si>
    <t>加藤　雅典</t>
  </si>
  <si>
    <t>医療法人　加藤整形外科</t>
  </si>
  <si>
    <t>四日市市下さざらい町843</t>
  </si>
  <si>
    <t>谷口　正益</t>
  </si>
  <si>
    <t>腫瘍内科</t>
  </si>
  <si>
    <t>寺尾　心一</t>
  </si>
  <si>
    <t>竹内　俊文</t>
  </si>
  <si>
    <t>たけうち内科クリニック</t>
  </si>
  <si>
    <t>仁儀　明納</t>
  </si>
  <si>
    <t>山本　竜大</t>
  </si>
  <si>
    <t>松本街道クリニック</t>
  </si>
  <si>
    <t>内科・リウマチ科</t>
  </si>
  <si>
    <t>益田　尚典</t>
  </si>
  <si>
    <t>高芝眼科クリニック</t>
  </si>
  <si>
    <t>山下　敦士</t>
  </si>
  <si>
    <t>伊藤　英明子</t>
  </si>
  <si>
    <t>高瀬　貴文</t>
  </si>
  <si>
    <t>荒木　裕登</t>
  </si>
  <si>
    <t>あらき内科クリニック</t>
  </si>
  <si>
    <t>西岡　洋右</t>
  </si>
  <si>
    <t>医療法人社団虎の門会　西岡記念セントラルクリニック</t>
  </si>
  <si>
    <t>豊嶋　弘一</t>
  </si>
  <si>
    <t>感染症内科</t>
  </si>
  <si>
    <t>内科、泌尿器科（人工透析）</t>
  </si>
  <si>
    <t>長谷川　嘉弘</t>
  </si>
  <si>
    <t>花木　良</t>
  </si>
  <si>
    <t>後藤　資実</t>
  </si>
  <si>
    <t>MG糖尿病・内分泌・甲状腺クリニック</t>
  </si>
  <si>
    <t>伊勢市勢田町431</t>
  </si>
  <si>
    <t>内科・糖尿病内科・内分泌内科・腎臓内科</t>
  </si>
  <si>
    <t>近藤　裕子</t>
  </si>
  <si>
    <t>内科・脳神経内科</t>
  </si>
  <si>
    <t>村井　宏生</t>
  </si>
  <si>
    <t>前川　直志</t>
  </si>
  <si>
    <t>医療法人　前川内科</t>
  </si>
  <si>
    <t>津市垂水南浦1425</t>
  </si>
  <si>
    <t>医療法人 もみの木整形外科</t>
  </si>
  <si>
    <t>小出　泰平</t>
  </si>
  <si>
    <t>協立内科外科医院</t>
  </si>
  <si>
    <t>熊野市井戸町378</t>
  </si>
  <si>
    <t>外科・内視鏡内科・消化器内科</t>
  </si>
  <si>
    <t>竹下　敦郎</t>
  </si>
  <si>
    <t>阪本　達也</t>
  </si>
  <si>
    <t>水越　幸輔</t>
  </si>
  <si>
    <t>平沼　聖彦</t>
  </si>
  <si>
    <t>ひらぬま内科クリニック</t>
  </si>
  <si>
    <t>小林　哲彦</t>
  </si>
  <si>
    <t>三宅　真人</t>
  </si>
  <si>
    <t>みえ腎臓病・内科クリニック</t>
  </si>
  <si>
    <t>四日市市波木町647番地1</t>
  </si>
  <si>
    <t>内科、腎臓内科、人工透析内科</t>
  </si>
  <si>
    <t>樋口　裕晃</t>
  </si>
  <si>
    <t>ひぐち整形外科クリニック</t>
  </si>
  <si>
    <t>行本　弘樹</t>
  </si>
  <si>
    <t>荻原　仁美</t>
  </si>
  <si>
    <t>中瀨古　春奈</t>
  </si>
  <si>
    <t>さとう糖尿病・訪問診療クリニック</t>
  </si>
  <si>
    <t>こまち内科クリニック</t>
  </si>
  <si>
    <t>内科・循環器内科・漢方内科・漢方皮膚科・漢方婦人科</t>
  </si>
  <si>
    <t>黒川　義博</t>
  </si>
  <si>
    <t>東口　髙志</t>
  </si>
  <si>
    <t>内科（総合診療科）</t>
  </si>
  <si>
    <t>医療法人　津健康クリニック</t>
  </si>
  <si>
    <t>千代延　和貴</t>
  </si>
  <si>
    <t>武岡　真美</t>
  </si>
  <si>
    <t>浦上　年彦</t>
  </si>
  <si>
    <t>ゆうあいクリニック</t>
  </si>
  <si>
    <t>呼吸器科・消化器科・外科・乳腺外科・循環器科・内科・リハビリテーション科</t>
  </si>
  <si>
    <t>佐藤　敏昭</t>
  </si>
  <si>
    <t>津城山さとうクリニック</t>
  </si>
  <si>
    <t>近藤　章</t>
  </si>
  <si>
    <t>堀端　謙</t>
  </si>
  <si>
    <t>亀山市立医療センター</t>
  </si>
  <si>
    <t>奥島　健太郎</t>
  </si>
  <si>
    <t>医療法人天神眼科医院</t>
  </si>
  <si>
    <t>南平　麻衣</t>
  </si>
  <si>
    <t>谷口　毅</t>
  </si>
  <si>
    <t>齋木　晴子</t>
  </si>
  <si>
    <t>川村　淸志</t>
  </si>
  <si>
    <t>一宮　惠</t>
  </si>
  <si>
    <t>掃部　俊貴</t>
  </si>
  <si>
    <t>医療法人全心会 ひかりの橋クリニック</t>
  </si>
  <si>
    <t>水谷　聡</t>
  </si>
  <si>
    <t>水谷皮フ科クリニック</t>
  </si>
  <si>
    <t>真野　頌子</t>
  </si>
  <si>
    <t>糖尿病、内分泌内科</t>
  </si>
  <si>
    <t>中根　慶太</t>
  </si>
  <si>
    <t>医療法人 富田浜病院</t>
  </si>
  <si>
    <t>岩井　郁子</t>
  </si>
  <si>
    <t>松村　好博</t>
  </si>
  <si>
    <t>はる整形外科クリニック</t>
  </si>
  <si>
    <t>草深　智樹</t>
  </si>
  <si>
    <t>中島　英貴</t>
  </si>
  <si>
    <t>永春　圭規</t>
  </si>
  <si>
    <t>熊澤　広朗</t>
  </si>
  <si>
    <t>松下　航平</t>
  </si>
  <si>
    <t>井上　知紗</t>
  </si>
  <si>
    <t>糖尿病内分泌内科</t>
  </si>
  <si>
    <t>宇治　彰人</t>
  </si>
  <si>
    <t>小池　勇樹</t>
  </si>
  <si>
    <t>村林　桃士</t>
  </si>
  <si>
    <t>西村　廣明</t>
  </si>
  <si>
    <t>森　治樹</t>
  </si>
  <si>
    <t>川口　晃司</t>
  </si>
  <si>
    <t>亀山透析クリニック</t>
  </si>
  <si>
    <t>亀山市羽若町833番地5</t>
  </si>
  <si>
    <t>西浦　祐貴</t>
  </si>
  <si>
    <t>田原　雄一</t>
  </si>
  <si>
    <t>福山　貴広</t>
  </si>
  <si>
    <t>医療法人糖クリ　すずか糖尿病クリニック</t>
  </si>
  <si>
    <t>黒田　直起</t>
  </si>
  <si>
    <t>齋木　良介</t>
  </si>
  <si>
    <t>藤川　裕之</t>
  </si>
  <si>
    <t>上浪　健</t>
  </si>
  <si>
    <t>うえなみ内科クリニック</t>
  </si>
  <si>
    <t>内科、呼吸器内科、放射線科、アレルギー科</t>
  </si>
  <si>
    <t>中村　公一</t>
  </si>
  <si>
    <t>近藤　好博</t>
  </si>
  <si>
    <t>久野　泰雅</t>
  </si>
  <si>
    <t>杉政　奈津子</t>
  </si>
  <si>
    <t>正見　勇太</t>
  </si>
  <si>
    <t>宮前診療所</t>
  </si>
  <si>
    <t>松阪市飯高町宮前1104</t>
  </si>
  <si>
    <t>小田　圭子</t>
  </si>
  <si>
    <t>三浦　翔子</t>
  </si>
  <si>
    <t>竹内　真希</t>
  </si>
  <si>
    <t>医療法人　桜森会　さくらの森眼科</t>
  </si>
  <si>
    <t>鈴鹿市岸岡町3390番地</t>
  </si>
  <si>
    <t>眼科、小児眼科</t>
  </si>
  <si>
    <t>中条　慎一郎</t>
  </si>
  <si>
    <t>辻浦　亜紀</t>
  </si>
  <si>
    <t>重福　隆太</t>
  </si>
  <si>
    <t>石須　良一</t>
  </si>
  <si>
    <t>あのつクリニック</t>
  </si>
  <si>
    <t>栃木　宏介</t>
  </si>
  <si>
    <t>辻??浦　誠浩</t>
  </si>
  <si>
    <t>三重津駅前つじうら胃腸肛門内視鏡クリニック</t>
  </si>
  <si>
    <t>津市羽所町345番地　第一ビル2階</t>
  </si>
  <si>
    <t>奥瀨　博亮</t>
  </si>
  <si>
    <t>四日市あおば内科・消化器内科クリニック</t>
  </si>
  <si>
    <t>内科、消化器内科、内視鏡内科</t>
  </si>
  <si>
    <t>山本　晋也</t>
  </si>
  <si>
    <t>医療法人　山本皮フ科</t>
  </si>
  <si>
    <t>今髙　加奈子</t>
  </si>
  <si>
    <t>岸本　智之</t>
  </si>
  <si>
    <t>山本　篤志</t>
  </si>
  <si>
    <t>嘉陽　織江</t>
  </si>
  <si>
    <t>はなみずき皮ふ科</t>
  </si>
  <si>
    <t>皮膚科、小児皮膚科</t>
  </si>
  <si>
    <t>腎泌尿器外科</t>
  </si>
  <si>
    <t>若松　泰子</t>
  </si>
  <si>
    <t>寺島　俊和</t>
  </si>
  <si>
    <t>中本　牧子</t>
  </si>
  <si>
    <t>今井　元</t>
  </si>
  <si>
    <t>津田　知子</t>
  </si>
  <si>
    <t>つだメンタルクリニック</t>
  </si>
  <si>
    <t>津市広明町358大橋ビル２階</t>
  </si>
  <si>
    <t>心療内科、精神科</t>
  </si>
  <si>
    <t>宮埼　晋一</t>
  </si>
  <si>
    <t>石田　衛</t>
  </si>
  <si>
    <t>萩　智仁</t>
  </si>
  <si>
    <t>冨岡　大資</t>
  </si>
  <si>
    <t>古川　和博</t>
  </si>
  <si>
    <t>ひさい脳神経外科クリニック</t>
  </si>
  <si>
    <t>小林　裕康</t>
  </si>
  <si>
    <t>こばやし内科・呼吸器内科クリニック</t>
  </si>
  <si>
    <t>池澤　宗成</t>
  </si>
  <si>
    <t>さくらの森眼科</t>
  </si>
  <si>
    <t>中瀬　裕貴子</t>
  </si>
  <si>
    <t>坪井　俊樹</t>
  </si>
  <si>
    <t>太田　隆徳</t>
  </si>
  <si>
    <t>鬼頭　大志</t>
  </si>
  <si>
    <t>志村　匡信</t>
  </si>
  <si>
    <t>廣田　敦也</t>
  </si>
  <si>
    <t>島　悦子</t>
  </si>
  <si>
    <t>佐々木　拓</t>
  </si>
  <si>
    <t>西井　真一郎</t>
  </si>
  <si>
    <t>医療法人　西井耳鼻咽喉科</t>
  </si>
  <si>
    <t>蜂矢　健介</t>
  </si>
  <si>
    <t>三浦　広嗣</t>
  </si>
  <si>
    <t>西川　晃平</t>
  </si>
  <si>
    <t>清水　康裕</t>
  </si>
  <si>
    <t>中川　十夢</t>
  </si>
  <si>
    <t>倉田　一成</t>
  </si>
  <si>
    <t>岩田　昇</t>
  </si>
  <si>
    <t>小村　成臣</t>
  </si>
  <si>
    <t>宇都宮　貴哉</t>
  </si>
  <si>
    <t>山本　貴之</t>
  </si>
  <si>
    <t>塩野　泰功</t>
  </si>
  <si>
    <t>小寺　秀樹</t>
  </si>
  <si>
    <t>花の道こてら整形外科クリニック</t>
  </si>
  <si>
    <t>檜森　亮吾</t>
  </si>
  <si>
    <t>胃腸内科、人工透析内科</t>
  </si>
  <si>
    <t>別府　剛志</t>
  </si>
  <si>
    <t>中川　勇人</t>
  </si>
  <si>
    <t>箱崎　浩一</t>
  </si>
  <si>
    <t>服部　佳生</t>
  </si>
  <si>
    <t>増田　和記</t>
  </si>
  <si>
    <t>ますだクリニック</t>
  </si>
  <si>
    <t>津市河芸町東千里259番地１</t>
  </si>
  <si>
    <t>谷垣内　佑典</t>
  </si>
  <si>
    <t>山本　晃</t>
  </si>
  <si>
    <t>小林　舞</t>
  </si>
  <si>
    <t>栗原　康輔</t>
  </si>
  <si>
    <t>鈴木　尚史</t>
  </si>
  <si>
    <t>中村　祐基</t>
  </si>
  <si>
    <t>那須　賢哉</t>
  </si>
  <si>
    <t>医療法人　三重ハートセンター</t>
  </si>
  <si>
    <t>渡邉　麻里</t>
  </si>
  <si>
    <t>安井　浩樹</t>
  </si>
  <si>
    <t>海野　宏至</t>
  </si>
  <si>
    <t>浅野　貴光</t>
  </si>
  <si>
    <t>北勢ケアクリニック</t>
  </si>
  <si>
    <t>内科、訪問診療</t>
  </si>
  <si>
    <t>山本　義介</t>
  </si>
  <si>
    <t>田中　隆光</t>
  </si>
  <si>
    <t>浅山　健太郎</t>
  </si>
  <si>
    <t>江坂　和大</t>
  </si>
  <si>
    <t>淺野　直樹</t>
  </si>
  <si>
    <t>小林　新</t>
  </si>
  <si>
    <t>内科（消化器内科）</t>
  </si>
  <si>
    <t>久納　一輝</t>
  </si>
  <si>
    <t>西田　順二</t>
  </si>
  <si>
    <t>藤原　直人</t>
  </si>
  <si>
    <t>曽我　倫久人</t>
  </si>
  <si>
    <t>医療法人久藤内科　津泌尿器科皮フ科診療所</t>
  </si>
  <si>
    <t>野尻　俊輔</t>
  </si>
  <si>
    <t>古川　亨</t>
  </si>
  <si>
    <t>中西　道政</t>
  </si>
  <si>
    <t>中島　健太</t>
  </si>
  <si>
    <t>森　尚太郎</t>
  </si>
  <si>
    <t>中村　雅也</t>
  </si>
  <si>
    <t>岩田　力</t>
  </si>
  <si>
    <t>松島　由明</t>
  </si>
  <si>
    <t>山本　陽子</t>
  </si>
  <si>
    <t>宮下　紘一</t>
  </si>
  <si>
    <t>前田　直希</t>
  </si>
  <si>
    <t>平沼　修</t>
  </si>
  <si>
    <t>宮﨑　敬大</t>
  </si>
  <si>
    <t>つじい整形外科・手の外科クリニック</t>
  </si>
  <si>
    <t>佐藤　徹</t>
  </si>
  <si>
    <t>坂口　友浩</t>
  </si>
  <si>
    <t>梶原　進也</t>
  </si>
  <si>
    <t>菊山　梨紗</t>
  </si>
  <si>
    <t>平林　陽介</t>
  </si>
  <si>
    <t>ぬのめ眼科</t>
  </si>
  <si>
    <t>眼科・小児眼科</t>
  </si>
  <si>
    <t>加島　悠然</t>
  </si>
  <si>
    <t>間瀬　陽子</t>
  </si>
  <si>
    <t>井田　紗矢香</t>
  </si>
  <si>
    <t>さや内科・糖尿病クリニック</t>
  </si>
  <si>
    <t>内科、糖尿病内科、内分泌内科</t>
  </si>
  <si>
    <t>上野　哲弘</t>
  </si>
  <si>
    <t>岡本　昌典</t>
  </si>
  <si>
    <t>水谷　有希</t>
  </si>
  <si>
    <t>北川　敬之</t>
  </si>
  <si>
    <t>加藤　拓也</t>
  </si>
  <si>
    <t>谷崎　隆太郎</t>
  </si>
  <si>
    <t>岩本　圭右</t>
  </si>
  <si>
    <t>小暮　周平</t>
  </si>
  <si>
    <t>前田　聡</t>
  </si>
  <si>
    <t>中井　貴哉</t>
  </si>
  <si>
    <t>いせ透析アクセスクリニック</t>
  </si>
  <si>
    <t>佐藤　貴志</t>
  </si>
  <si>
    <t>中村　伸太郎</t>
  </si>
  <si>
    <t>なかむらクリニック</t>
  </si>
  <si>
    <t>伊勢市一之木4丁目1番41号</t>
  </si>
  <si>
    <t>アレルギー科、耳鼻いんこう科</t>
  </si>
  <si>
    <t>大矢知　真希</t>
  </si>
  <si>
    <t>水野　祐一郎</t>
  </si>
  <si>
    <t>樽川　智人</t>
  </si>
  <si>
    <t>春木　祐司</t>
  </si>
  <si>
    <t>中橋　央棋</t>
  </si>
  <si>
    <t>坂口　直</t>
  </si>
  <si>
    <t>鈴木　勇太</t>
  </si>
  <si>
    <t>西井　洋一</t>
  </si>
  <si>
    <t>菅　大典</t>
  </si>
  <si>
    <t>梅田　悠平</t>
  </si>
  <si>
    <t>樋口　泰光</t>
  </si>
  <si>
    <t>とうかい整形外科すずか</t>
  </si>
  <si>
    <t>水谷　智子</t>
  </si>
  <si>
    <t>磯部　真一郎</t>
  </si>
  <si>
    <t>坂口　慎太郎</t>
  </si>
  <si>
    <t>渡邉　麻衣子</t>
  </si>
  <si>
    <t>大塚　健司</t>
  </si>
  <si>
    <t>長谷川　貴栄</t>
  </si>
  <si>
    <t>小椋　祐一郎</t>
  </si>
  <si>
    <t>島田　康彬</t>
  </si>
  <si>
    <t>平田　智也</t>
  </si>
  <si>
    <t>石神　瑛亮</t>
  </si>
  <si>
    <t>上田　航毅</t>
  </si>
  <si>
    <t>鈴村　美聡</t>
  </si>
  <si>
    <t>三羽　晃平</t>
  </si>
  <si>
    <t>矢野原　元</t>
  </si>
  <si>
    <t>医療法人社団　やのはらクリニック</t>
  </si>
  <si>
    <t>伊勢市小俣町相合478番地4</t>
  </si>
  <si>
    <t>味八木　郁雄</t>
  </si>
  <si>
    <t>みやきリハビリテーションクリニック</t>
  </si>
  <si>
    <t>熊野市久生屋町541</t>
  </si>
  <si>
    <t>川口　航希</t>
  </si>
  <si>
    <t>宇陀　数真</t>
  </si>
  <si>
    <t>北牟婁郡紀北町上里225番地8</t>
  </si>
  <si>
    <t>吉川　昌希</t>
  </si>
  <si>
    <t>川村　賢吾</t>
  </si>
  <si>
    <t>冨永　晋太郎</t>
  </si>
  <si>
    <t>加藤　宏紀</t>
  </si>
  <si>
    <t>西垣　明哲</t>
  </si>
  <si>
    <t>鈴木　桜子</t>
  </si>
  <si>
    <t>小野医院</t>
  </si>
  <si>
    <t>大内　智洋</t>
  </si>
  <si>
    <t>佐羽　勇輝</t>
  </si>
  <si>
    <t>中村　彰秀</t>
  </si>
  <si>
    <t>伊藤　稔之</t>
  </si>
  <si>
    <t>權藤　岳</t>
  </si>
  <si>
    <t>中西　昭登</t>
  </si>
  <si>
    <t>堀井　学</t>
  </si>
  <si>
    <t>池田　智哉</t>
  </si>
  <si>
    <t>鳥羽市桃取町219</t>
  </si>
  <si>
    <t>有馬　智之</t>
  </si>
  <si>
    <t>有沼　良幸</t>
  </si>
  <si>
    <t>石山　将希</t>
  </si>
  <si>
    <t>中村　知美</t>
  </si>
  <si>
    <t>長野　由佳</t>
  </si>
  <si>
    <t>伊藤　公人</t>
  </si>
  <si>
    <t>ひだまり内科クリニック</t>
  </si>
  <si>
    <t>内科、循環器科、血液内科、皮膚科</t>
  </si>
  <si>
    <t>早川　雄馬</t>
  </si>
  <si>
    <t>藤戸　章</t>
  </si>
  <si>
    <t>名張市希央台5番町35番地</t>
  </si>
  <si>
    <t>松山　優実</t>
  </si>
  <si>
    <t>木村　哲郎</t>
  </si>
  <si>
    <t>木村耳鼻いんこう科</t>
  </si>
  <si>
    <t>桑名市星見ヶ丘9丁目202</t>
  </si>
  <si>
    <t>東　理映子</t>
  </si>
  <si>
    <t>藤川　祐基</t>
  </si>
  <si>
    <t>宮原　利行</t>
  </si>
  <si>
    <t>井口　典子</t>
  </si>
  <si>
    <t>産婦人科、内科</t>
  </si>
  <si>
    <t>伊藤　雄彦</t>
  </si>
  <si>
    <t>小児科、新生児科</t>
  </si>
  <si>
    <t>岩崎　竜也</t>
  </si>
  <si>
    <t>下山　貴寛</t>
  </si>
  <si>
    <t>岡野　元彦</t>
  </si>
  <si>
    <t>森　翔</t>
  </si>
  <si>
    <t>臼井　英治</t>
  </si>
  <si>
    <t>内田　修輔</t>
  </si>
  <si>
    <t>岡本　禎一</t>
  </si>
  <si>
    <t>桑名市長島町横満蔵573番地</t>
  </si>
  <si>
    <t>児玉　秀治</t>
  </si>
  <si>
    <t>加藤　誉史</t>
  </si>
  <si>
    <t>三輪田　ちひろ</t>
  </si>
  <si>
    <t>羽根　将之</t>
  </si>
  <si>
    <t>堀江　潤</t>
  </si>
  <si>
    <t>渡邊（村元）　佑己子</t>
  </si>
  <si>
    <t>米川　由賀</t>
  </si>
  <si>
    <t>櫻井　英二</t>
  </si>
  <si>
    <t>菰野さくらい眼科</t>
  </si>
  <si>
    <t>岡野　優子</t>
  </si>
  <si>
    <t>林　恒賢</t>
  </si>
  <si>
    <t>角田　哲也</t>
  </si>
  <si>
    <t>大久保　沙彩</t>
  </si>
  <si>
    <t>池内　一磨</t>
  </si>
  <si>
    <t>髙橋　明子</t>
  </si>
  <si>
    <t>坂本　花菜</t>
  </si>
  <si>
    <t>平野　哲</t>
  </si>
  <si>
    <t>平松　大典</t>
  </si>
  <si>
    <t>中村　俊太</t>
  </si>
  <si>
    <t>平野　弘嗣</t>
  </si>
  <si>
    <t>山脇　正裕</t>
  </si>
  <si>
    <t>田中　聡</t>
  </si>
  <si>
    <t>牛田　英里</t>
  </si>
  <si>
    <t>伊藤　卓洋</t>
  </si>
  <si>
    <t>櫛谷　文彦</t>
  </si>
  <si>
    <t>櫛谷内科クリニック</t>
  </si>
  <si>
    <t>山際　健太郎</t>
  </si>
  <si>
    <t>津在宅ケア診療所</t>
  </si>
  <si>
    <t>津市大谷町255オフィス金子1F</t>
  </si>
  <si>
    <t>内科、消化器内科、緩和ケア内科</t>
  </si>
  <si>
    <t>林　豊美</t>
  </si>
  <si>
    <t>鈴鹿市阿古曽町26番18号</t>
  </si>
  <si>
    <t>永井　義雄</t>
  </si>
  <si>
    <t>竹中　由起子</t>
  </si>
  <si>
    <t>宮松　弥生</t>
  </si>
  <si>
    <t>村井　克昌</t>
  </si>
  <si>
    <t>介護老人保健施設　上野の郷</t>
  </si>
  <si>
    <t>杉谷　直大</t>
  </si>
  <si>
    <t>小里　大基</t>
  </si>
  <si>
    <t>伊藤　健太郎</t>
  </si>
  <si>
    <t>水門　瞳</t>
  </si>
  <si>
    <t>森本　真理</t>
  </si>
  <si>
    <t>福岡　秀介</t>
  </si>
  <si>
    <t>大西　賢多朗</t>
  </si>
  <si>
    <t>青野　祐樹</t>
  </si>
  <si>
    <t>総合医療クリニック桔梗</t>
  </si>
  <si>
    <t>名張市桔梗が丘5番町9街区1812番地1</t>
  </si>
  <si>
    <t>消化器内科、内科</t>
  </si>
  <si>
    <t>北野　詳太郎</t>
  </si>
  <si>
    <t>雄山　隆弘</t>
  </si>
  <si>
    <t>濵口　孝幸</t>
  </si>
  <si>
    <t>津　痛みのクリニック</t>
  </si>
  <si>
    <t>リハビリテーション科、ペインクリニック外科</t>
  </si>
  <si>
    <t>爲田　雅彦</t>
  </si>
  <si>
    <t>牛田　美帆</t>
  </si>
  <si>
    <t>糖尿病内科、内分泌内科、内科</t>
  </si>
  <si>
    <t>川村　紘三</t>
  </si>
  <si>
    <t>医療法人　重幹会　川村外科内科</t>
  </si>
  <si>
    <t>外科、内科、肛門科、胃腸科</t>
  </si>
  <si>
    <t>刀根　由紀子</t>
  </si>
  <si>
    <t>森　洋平</t>
  </si>
  <si>
    <t>医療法人社団　森医院</t>
  </si>
  <si>
    <t>奥田　裕文</t>
  </si>
  <si>
    <t>乙田　泰志</t>
  </si>
  <si>
    <t>山下　修人</t>
  </si>
  <si>
    <t>水元　啓太郎</t>
  </si>
  <si>
    <t>今野　恵一郎</t>
  </si>
  <si>
    <t>二宮　隆仁</t>
  </si>
  <si>
    <t>川西　順</t>
  </si>
  <si>
    <t>大江　祐一郎</t>
  </si>
  <si>
    <t>伊賀おおえ耳鼻咽喉科</t>
  </si>
  <si>
    <t>伊賀市上野農人町533番地</t>
  </si>
  <si>
    <t>耳鼻咽喉科、小児耳鼻咽喉科</t>
  </si>
  <si>
    <t>堀江　将太朗</t>
  </si>
  <si>
    <t>孫田　みゆき</t>
  </si>
  <si>
    <t>植地　南月</t>
  </si>
  <si>
    <t>中尾　浅香</t>
  </si>
  <si>
    <t>池田　歩</t>
  </si>
  <si>
    <t>東　真一郎</t>
  </si>
  <si>
    <t>加藤　桃子</t>
  </si>
  <si>
    <t>大岩　綾香</t>
  </si>
  <si>
    <t>松本　和隆</t>
  </si>
  <si>
    <t>松阪市山室町字西ノ谷707番地3</t>
  </si>
  <si>
    <t>野見山　仁志</t>
  </si>
  <si>
    <t>志摩市立前島診療所</t>
  </si>
  <si>
    <t>志摩市志摩町和具1066</t>
  </si>
  <si>
    <t>下村　敦</t>
  </si>
  <si>
    <t>しもむら内科</t>
  </si>
  <si>
    <t>内科・循環器内科・胃腸内科</t>
  </si>
  <si>
    <t>野田　恵那</t>
  </si>
  <si>
    <t>井上　奈津実</t>
  </si>
  <si>
    <t>小野　澄比佐</t>
  </si>
  <si>
    <t>豊和病院</t>
  </si>
  <si>
    <t>田島　学</t>
  </si>
  <si>
    <t>本町内科クリニック</t>
  </si>
  <si>
    <t>内科・呼吸器内科・糖尿病内科</t>
  </si>
  <si>
    <t>足立　光朗</t>
  </si>
  <si>
    <t>医療法人　成松会　足立耳鼻咽喉科</t>
  </si>
  <si>
    <t>扇　和弘</t>
  </si>
  <si>
    <t>中村　佳史</t>
  </si>
  <si>
    <t>川?　裕一</t>
  </si>
  <si>
    <t>山本　光章</t>
  </si>
  <si>
    <t>三重郡朝日町縄生651番地</t>
  </si>
  <si>
    <t>佐藤　芳邦</t>
  </si>
  <si>
    <t>橋本　修嗣</t>
  </si>
  <si>
    <t>はしもと総合診療クリニック</t>
  </si>
  <si>
    <t>名張市蔵持町里3258番地2</t>
  </si>
  <si>
    <t>谷口　悠</t>
  </si>
  <si>
    <t>伊藤　弘将</t>
  </si>
  <si>
    <t>森川　正和</t>
  </si>
  <si>
    <t>白倉　由隆</t>
  </si>
  <si>
    <t>小林　俊諒</t>
  </si>
  <si>
    <t>宗吉　佑樹</t>
  </si>
  <si>
    <t>西田　敬弘</t>
  </si>
  <si>
    <t>小田　豪将</t>
  </si>
  <si>
    <t>村上　敬祐</t>
  </si>
  <si>
    <t>岡﨑　貴大</t>
  </si>
  <si>
    <t>大久保　薫</t>
  </si>
  <si>
    <t>黒田　祐輔</t>
  </si>
  <si>
    <t>後藤　広樹</t>
  </si>
  <si>
    <t>辻　明宏</t>
  </si>
  <si>
    <t>越山　ますみ</t>
  </si>
  <si>
    <t>中瀬　将明</t>
  </si>
  <si>
    <t>なかせ在宅診療所</t>
  </si>
  <si>
    <t>松阪市大黒田町字西出1238番地3</t>
  </si>
  <si>
    <t>津市幸町4番6号</t>
  </si>
  <si>
    <t>鈴木　賀代</t>
  </si>
  <si>
    <t>善當　翼</t>
  </si>
  <si>
    <t>谷川　元昭</t>
  </si>
  <si>
    <t>田中（長野）　有花子</t>
  </si>
  <si>
    <t>前田　光貴</t>
  </si>
  <si>
    <t>外科（消化器外科）</t>
  </si>
  <si>
    <t>山本　恭資</t>
  </si>
  <si>
    <t>志摩市大王町波切1941番地1</t>
  </si>
  <si>
    <t>山脇　真</t>
  </si>
  <si>
    <t>四日市おなかのクリニック</t>
  </si>
  <si>
    <t>高橋　大輔</t>
  </si>
  <si>
    <t>津みなみクリニック</t>
  </si>
  <si>
    <t>金子　真紀</t>
  </si>
  <si>
    <t>北野　哲司</t>
  </si>
  <si>
    <t>島﨑　哲郎</t>
  </si>
  <si>
    <t>島崎整形外科医院</t>
  </si>
  <si>
    <t>四日市市泊町2番30号</t>
  </si>
  <si>
    <t>高野　宏平</t>
  </si>
  <si>
    <t>田中　敬三</t>
  </si>
  <si>
    <t>河野　由莉</t>
  </si>
  <si>
    <t>浅野　瑞季</t>
  </si>
  <si>
    <t>山下　健</t>
  </si>
  <si>
    <t>塩地　弘和</t>
  </si>
  <si>
    <t>田中　壮一郎</t>
  </si>
  <si>
    <t>江角　悠太</t>
  </si>
  <si>
    <t>伊藤　道子</t>
  </si>
  <si>
    <t>古橋　一樹</t>
  </si>
  <si>
    <t>丹羽　正樹</t>
  </si>
  <si>
    <t>森井　正哉</t>
  </si>
  <si>
    <t>岡田　真名人</t>
  </si>
  <si>
    <t>秋山　雅裕</t>
  </si>
  <si>
    <t>伊藤　基博</t>
  </si>
  <si>
    <t>内科、リウマチ膠原病内科</t>
  </si>
  <si>
    <t>大久保　崇伸</t>
  </si>
  <si>
    <t>長嶋　一訓</t>
  </si>
  <si>
    <t>石瀬　卓郎</t>
  </si>
  <si>
    <t>中西　丈比佐</t>
  </si>
  <si>
    <t>桑山　聡志</t>
  </si>
  <si>
    <t>三重郡菰野町福村75番地</t>
  </si>
  <si>
    <t>小林　大介</t>
  </si>
  <si>
    <t>頭頚部耳鼻咽喉科</t>
  </si>
  <si>
    <t>市川　和秀</t>
  </si>
  <si>
    <t>市川　博巳</t>
  </si>
  <si>
    <t>廣田　有</t>
  </si>
  <si>
    <t>四日市市東坂部町1391</t>
  </si>
  <si>
    <t>上野　富生</t>
  </si>
  <si>
    <t>うえのクリニック</t>
  </si>
  <si>
    <t>小野　啓吾</t>
  </si>
  <si>
    <t>四日市市川原町34番7号</t>
  </si>
  <si>
    <t>亀嶋　孝通</t>
  </si>
  <si>
    <t>久保田　洌</t>
  </si>
  <si>
    <t>ときわ胃腸科</t>
  </si>
  <si>
    <t>小島　照司</t>
  </si>
  <si>
    <t>小島医院</t>
  </si>
  <si>
    <t>内科、循環器内科、整形外科、リハビリテーション科</t>
  </si>
  <si>
    <t>後藤　和子</t>
  </si>
  <si>
    <t>婦人科、内科</t>
  </si>
  <si>
    <t>末永　明彦</t>
  </si>
  <si>
    <t>三重郡菰野町大字千草6460番地27</t>
  </si>
  <si>
    <t>内科・皮膚科</t>
  </si>
  <si>
    <t>竹中　巧</t>
  </si>
  <si>
    <t>医療法人　健侑会　四日市インタークリニック</t>
  </si>
  <si>
    <t>胃腸科・内科・外科・肛門科</t>
  </si>
  <si>
    <t>竹村　晃子</t>
  </si>
  <si>
    <t>竹村　茂之</t>
  </si>
  <si>
    <t>田中　英樹</t>
  </si>
  <si>
    <t>田中内科医院</t>
  </si>
  <si>
    <t>土橋　知子</t>
  </si>
  <si>
    <t>板井　徳七</t>
  </si>
  <si>
    <t>石橋外科内科</t>
  </si>
  <si>
    <t>寺村　忍</t>
  </si>
  <si>
    <t>医療法人　寺村内科クリニック</t>
  </si>
  <si>
    <t>中嶋　恒雄</t>
  </si>
  <si>
    <t>子日　克宣</t>
  </si>
  <si>
    <t>井上医院</t>
  </si>
  <si>
    <t>濱口　浩一</t>
  </si>
  <si>
    <t>古橋　健彦</t>
  </si>
  <si>
    <t>漢方内科・漢方皮膚科</t>
  </si>
  <si>
    <t>前川　悟</t>
  </si>
  <si>
    <t>井上　登太</t>
  </si>
  <si>
    <t>みえ呼吸嚥下リハビリクリニック</t>
  </si>
  <si>
    <t>呼吸器内科、気道食道内科、内科、リハビリテーション科</t>
  </si>
  <si>
    <t>松原　きみ子</t>
  </si>
  <si>
    <t>松本　収生</t>
  </si>
  <si>
    <t>松本胃腸内科</t>
  </si>
  <si>
    <t>宮﨑　智徳</t>
  </si>
  <si>
    <t>毛受　雅文</t>
  </si>
  <si>
    <t>栁本　研一郎</t>
  </si>
  <si>
    <t>やなもと内科・内視鏡内科</t>
  </si>
  <si>
    <t>四日市市萱生町581</t>
  </si>
  <si>
    <t>山中　賢治</t>
  </si>
  <si>
    <t>笹川内科胃腸科クリニック</t>
  </si>
  <si>
    <t>四日市市波木町坂向305</t>
  </si>
  <si>
    <t>井村　正史</t>
  </si>
  <si>
    <t>医療法人　緑の風　千里クリニック</t>
  </si>
  <si>
    <t>内科・外科・呼吸器内科・循環器内科</t>
  </si>
  <si>
    <t>岩田　昭夫</t>
  </si>
  <si>
    <t>加藤　憲司</t>
  </si>
  <si>
    <t>川村　憲市</t>
  </si>
  <si>
    <t>鈴鹿市中冨田町中谷518番地</t>
  </si>
  <si>
    <t>木ノ内　勝己</t>
  </si>
  <si>
    <t>木ノ内医院</t>
  </si>
  <si>
    <t>小山　徹</t>
  </si>
  <si>
    <t>医療法人社団　小山医院</t>
  </si>
  <si>
    <t>熊野市有馬町285番地の1</t>
  </si>
  <si>
    <t>志田　幸雄</t>
  </si>
  <si>
    <t>医療法人　桜木記念病院</t>
  </si>
  <si>
    <t>内科・小児科・皮膚科・呼吸器科・胃腸科・循環器科・リハビリテーション科</t>
  </si>
  <si>
    <t>下村　年胤</t>
  </si>
  <si>
    <t>しもむら整形外科</t>
  </si>
  <si>
    <t>伊賀市小田町212</t>
  </si>
  <si>
    <t>上瀬　英彦</t>
  </si>
  <si>
    <t>医療法人樹玲会　上瀬クリニック</t>
  </si>
  <si>
    <t>石賀　丈士</t>
  </si>
  <si>
    <t>田中　秀虎</t>
  </si>
  <si>
    <t>とら整形クリニック</t>
  </si>
  <si>
    <t>留奥　誠</t>
  </si>
  <si>
    <t>留奥内科</t>
  </si>
  <si>
    <t>内科、呼吸器科、消化器内科</t>
  </si>
  <si>
    <t>鍋島　圭右</t>
  </si>
  <si>
    <t>鍋島医院</t>
  </si>
  <si>
    <t>西岡　敬明</t>
  </si>
  <si>
    <t>内科、消化器内科、呼吸器内科、循環器内科</t>
  </si>
  <si>
    <t>西久保　公映</t>
  </si>
  <si>
    <t>西久保内科クリニック</t>
  </si>
  <si>
    <t>福井　淳</t>
  </si>
  <si>
    <t>医療法人ハートクリニック福井</t>
  </si>
  <si>
    <t>内科・循環器内科・呼吸器内科・消化器内科</t>
  </si>
  <si>
    <t>萬濃　裕司</t>
  </si>
  <si>
    <t>まんのう整形外科</t>
  </si>
  <si>
    <t>森田　典尚</t>
  </si>
  <si>
    <t>森田クリニック</t>
  </si>
  <si>
    <t>伊賀市上野玄蕃町219番地の1</t>
  </si>
  <si>
    <t>内科、心療内科、アレルギー科</t>
  </si>
  <si>
    <t>八木　秀行</t>
  </si>
  <si>
    <t>医療法人正秀会　八木医院</t>
  </si>
  <si>
    <t>鈴鹿市東玉垣町2483番地の1</t>
  </si>
  <si>
    <t>山中　章好</t>
  </si>
  <si>
    <t>百合が丘クリニック</t>
  </si>
  <si>
    <t>名張市百合が丘東1番町14番地</t>
  </si>
  <si>
    <t>漢方内科・漢方小児科・漢方アレルギー科</t>
  </si>
  <si>
    <t>太田　東美</t>
  </si>
  <si>
    <t>森　愛</t>
  </si>
  <si>
    <t>東　崇明</t>
  </si>
  <si>
    <t>あずまクリニック</t>
  </si>
  <si>
    <t>伊賀市服部町3丁目101</t>
  </si>
  <si>
    <t>川﨑　正教</t>
  </si>
  <si>
    <t>小坂　良</t>
  </si>
  <si>
    <t>医療法人　小坂クリニック</t>
  </si>
  <si>
    <t>松阪市嬉野中川新町二丁目23番地</t>
  </si>
  <si>
    <t>下野　吉樹</t>
  </si>
  <si>
    <t>池田　剛</t>
  </si>
  <si>
    <t>医療法人　白塚いけだクリニック</t>
  </si>
  <si>
    <t>内科、外科、リハビリテーション科</t>
  </si>
  <si>
    <t>田中　久雄</t>
  </si>
  <si>
    <t>岩佐　紘</t>
  </si>
  <si>
    <t>亀山市亀田町466番地1</t>
  </si>
  <si>
    <t>冨山　浩基</t>
  </si>
  <si>
    <t>医療法人　とみやま外科内科医院</t>
  </si>
  <si>
    <t>中　正直</t>
  </si>
  <si>
    <t>新川　修</t>
  </si>
  <si>
    <t>宿田曽診療所</t>
  </si>
  <si>
    <t>度会郡南伊勢町田曽浦3813番地</t>
  </si>
  <si>
    <t>大野　則和</t>
  </si>
  <si>
    <t>おおのクリニック</t>
  </si>
  <si>
    <t>伊賀市服部町二丁目97番地</t>
  </si>
  <si>
    <t>濱口　均</t>
  </si>
  <si>
    <t>太田　正隆</t>
  </si>
  <si>
    <t>外科、胃腸科</t>
  </si>
  <si>
    <t>藤原　卓</t>
  </si>
  <si>
    <t>帆刈　睦男</t>
  </si>
  <si>
    <t>水野　揚三</t>
  </si>
  <si>
    <t>みえ医療福祉生活協同組合　白塚診療所</t>
  </si>
  <si>
    <t>内科、循環器内科、呼吸器内科、消化器内科</t>
  </si>
  <si>
    <t>山村　剛史</t>
  </si>
  <si>
    <t>みえ医療福祉生活協同組合　伊賀町診療所</t>
  </si>
  <si>
    <t>李　昌珍</t>
  </si>
  <si>
    <t>亀井　貴美</t>
  </si>
  <si>
    <t>後藤　浩之</t>
  </si>
  <si>
    <t>酒井　素子</t>
  </si>
  <si>
    <t>澤田　浩一</t>
  </si>
  <si>
    <t>山際　幹和</t>
  </si>
  <si>
    <t>田中　民弥</t>
  </si>
  <si>
    <t>伊勢市大世古4丁目6番47号</t>
  </si>
  <si>
    <t>出口　晃</t>
  </si>
  <si>
    <t>橋爪　眞言</t>
  </si>
  <si>
    <t>医療法人はしづめクリニック</t>
  </si>
  <si>
    <t>内科、神経内科、循環器科、消化器科、リハビリテーション科</t>
  </si>
  <si>
    <t>橋本　美沙</t>
  </si>
  <si>
    <t>長谷川　静生</t>
  </si>
  <si>
    <t>亀山市東御幸町232</t>
  </si>
  <si>
    <t>古田　義博</t>
  </si>
  <si>
    <t>古田医院</t>
  </si>
  <si>
    <t>四日市市西阿倉川1203番地</t>
  </si>
  <si>
    <t>内科、神経内科、心療内科</t>
  </si>
  <si>
    <t>安井　廣之</t>
  </si>
  <si>
    <t>山本　仁志</t>
  </si>
  <si>
    <t>福田　雅行</t>
  </si>
  <si>
    <t>内科、老年内科、循環器内科、消化器内科、リハビリテーション科</t>
  </si>
  <si>
    <t>日吉　敦寿</t>
  </si>
  <si>
    <t>とみだ眼科四日市</t>
  </si>
  <si>
    <t>伊藤　達也</t>
  </si>
  <si>
    <t>宮村　有紀子</t>
  </si>
  <si>
    <t>薬王堂医院</t>
  </si>
  <si>
    <t>松阪市嬉野薬王寺町786</t>
  </si>
  <si>
    <t>菊池　学</t>
  </si>
  <si>
    <t>加茂　和敏</t>
  </si>
  <si>
    <t>消化器内科、循環器内科、内科</t>
  </si>
  <si>
    <t>久米　正根</t>
  </si>
  <si>
    <t>斎藤　誉宏</t>
  </si>
  <si>
    <t>平山　将司</t>
  </si>
  <si>
    <t>町野　由佳</t>
  </si>
  <si>
    <t>大安クリニック</t>
  </si>
  <si>
    <t>いなべ市大安町梅戸732の2</t>
  </si>
  <si>
    <t>矢津　卓宏</t>
  </si>
  <si>
    <t>医療法人矢津内科</t>
  </si>
  <si>
    <t>内科、循環器内科、呼吸器内科</t>
  </si>
  <si>
    <t>奥田　昌也</t>
  </si>
  <si>
    <t>医療法人社団　奥田医院</t>
  </si>
  <si>
    <t>鈴木　厚人</t>
  </si>
  <si>
    <t>世古口　茂幸</t>
  </si>
  <si>
    <t>医療法人海山会　世古口クリニック</t>
  </si>
  <si>
    <t>内科、循環器科、リハビリテーション科</t>
  </si>
  <si>
    <t>中条　隆一</t>
  </si>
  <si>
    <t>中條眼科</t>
  </si>
  <si>
    <t>伊勢市岩渕2丁目4番1号</t>
  </si>
  <si>
    <t>畑　千尋</t>
  </si>
  <si>
    <t>東谷　喬伸</t>
  </si>
  <si>
    <t>呼吸循環器科</t>
  </si>
  <si>
    <t>堀　道大</t>
  </si>
  <si>
    <t>医療法人　蘭会　堀胃腸科医院</t>
  </si>
  <si>
    <t>胃腸内科、内科、外科、肛門外科</t>
  </si>
  <si>
    <t>森山　寿己</t>
  </si>
  <si>
    <t>山中　豊</t>
  </si>
  <si>
    <t>大西　博</t>
  </si>
  <si>
    <t>青木　薫徳</t>
  </si>
  <si>
    <t>青木クリニック</t>
  </si>
  <si>
    <t>池村　典久</t>
  </si>
  <si>
    <t>亀山市西丸町539</t>
  </si>
  <si>
    <t>石井　雅昭</t>
  </si>
  <si>
    <t>河出　恭雅</t>
  </si>
  <si>
    <t>齊藤　大樹</t>
  </si>
  <si>
    <t>斉藤クリニック</t>
  </si>
  <si>
    <t>武内　徹郎</t>
  </si>
  <si>
    <t>内科、外科、整形外科</t>
  </si>
  <si>
    <t>仲田　智之</t>
  </si>
  <si>
    <t>原田　直樹</t>
  </si>
  <si>
    <t>医療法人暲純会 津ファミリークリニック</t>
  </si>
  <si>
    <t>村瀬　泰史</t>
  </si>
  <si>
    <t>森本　晶子</t>
  </si>
  <si>
    <t>とういん眼科クリニック</t>
  </si>
  <si>
    <t>山下　博美</t>
  </si>
  <si>
    <t>医療法人博将会　山下内科外科</t>
  </si>
  <si>
    <t>内科、外科、胃腸科、呼吸器科、皮膚科、肛門科</t>
  </si>
  <si>
    <t>山脇　崇</t>
  </si>
  <si>
    <t>吉川　和幸</t>
  </si>
  <si>
    <t>内科、リハビリテーション科、腎臓内科</t>
  </si>
  <si>
    <t>落合　広子</t>
  </si>
  <si>
    <t>タカオカクリニック</t>
  </si>
  <si>
    <t>山本　政和</t>
  </si>
  <si>
    <t>やまもと総合診療クリニック</t>
  </si>
  <si>
    <t>岡村　聡</t>
  </si>
  <si>
    <t>井口　正士</t>
  </si>
  <si>
    <t>いぐち内科・消化器内科クリニック</t>
  </si>
  <si>
    <t>刑部　全晃</t>
  </si>
  <si>
    <t>後藤　啓元</t>
  </si>
  <si>
    <t>竹田　啓</t>
  </si>
  <si>
    <t>杉田　貴紀</t>
  </si>
  <si>
    <t>喜内　哲雄</t>
  </si>
  <si>
    <t>きない心のクリニック</t>
  </si>
  <si>
    <t>心療内科・精神科</t>
  </si>
  <si>
    <t>加藤　康子</t>
  </si>
  <si>
    <t>医療法人 三慶会 かとう小児科</t>
  </si>
  <si>
    <t>藤原　拓海</t>
  </si>
  <si>
    <t>呼吸器内科、ゲノム診療科</t>
  </si>
  <si>
    <t>中野　正範</t>
  </si>
  <si>
    <t>内科（総合診療）</t>
  </si>
  <si>
    <t>田中　啓太</t>
  </si>
  <si>
    <t>馬岡　愛</t>
  </si>
  <si>
    <t>志田　幸太</t>
  </si>
  <si>
    <t>熊野市二木島町349</t>
  </si>
  <si>
    <t>内科、呼吸器科、消化器科、アレルギー科</t>
  </si>
  <si>
    <t>山本　玲</t>
  </si>
  <si>
    <t>桑田　綾乃</t>
  </si>
  <si>
    <t>玉田　香介</t>
  </si>
  <si>
    <t>大門　位守</t>
  </si>
  <si>
    <t>特養あさひ診療所</t>
  </si>
  <si>
    <t>小坂　篤</t>
  </si>
  <si>
    <t>内科、外科、胃腸科、肛門外科</t>
  </si>
  <si>
    <t>中川　俊一</t>
  </si>
  <si>
    <t>中川医院</t>
  </si>
  <si>
    <t>宮田　智仁</t>
  </si>
  <si>
    <t>小野　拓</t>
  </si>
  <si>
    <t>玉城町国民健康保険　玉城病院</t>
  </si>
  <si>
    <t>桑名市京橋町30番</t>
  </si>
  <si>
    <t>医療法人清潮会　赤坂クリニック</t>
  </si>
  <si>
    <t>内科、胃腸科内科、胃腸科外科、肛門科</t>
  </si>
  <si>
    <t>吉村　明文</t>
  </si>
  <si>
    <t>医療法人　吉村クリニック</t>
  </si>
  <si>
    <t>伊賀市土橋192の1</t>
  </si>
  <si>
    <t>山﨑　敏生</t>
  </si>
  <si>
    <t>辻川　菜穂</t>
  </si>
  <si>
    <t>市場　文衛</t>
  </si>
  <si>
    <t>市場内科医院</t>
  </si>
  <si>
    <t>内科、呼吸器科、胃腸科、循環器科、小児科</t>
  </si>
  <si>
    <t>内科、外科、呼吸器外科、肛門外科</t>
  </si>
  <si>
    <t>飯田　祥平</t>
  </si>
  <si>
    <t>山口　智弘</t>
  </si>
  <si>
    <t>伊神　明良</t>
  </si>
  <si>
    <t>小久江　友里恵</t>
  </si>
  <si>
    <t>笹本　浩平</t>
  </si>
  <si>
    <t>内科（総合診療科)</t>
  </si>
  <si>
    <t>森下　裕之</t>
  </si>
  <si>
    <t>野瀬　賢治</t>
  </si>
  <si>
    <t>胃腸科、外科、内科、肛門科、リハビリテーション科</t>
  </si>
  <si>
    <t>中村　はる香</t>
  </si>
  <si>
    <t>只左　直也</t>
  </si>
  <si>
    <t>桔梗往診クリニック２４</t>
  </si>
  <si>
    <t>古﨑　陽一</t>
  </si>
  <si>
    <t>内科、外科、小児科、放射線科</t>
  </si>
  <si>
    <t>福喜多　寛</t>
  </si>
  <si>
    <t>医療法人　F＆F</t>
  </si>
  <si>
    <t>鶴賀　聡美</t>
  </si>
  <si>
    <t>朝川　大暉</t>
  </si>
  <si>
    <t>井戸　正流</t>
  </si>
  <si>
    <t>渡辺　光</t>
  </si>
  <si>
    <t>上垣内　隆文</t>
  </si>
  <si>
    <t>内科・小児科・緩和ケア内科</t>
  </si>
  <si>
    <t>田中　紘也</t>
  </si>
  <si>
    <t>井上　晋一</t>
  </si>
  <si>
    <t>中島　悠貴</t>
  </si>
  <si>
    <t>小林　鮎子</t>
  </si>
  <si>
    <t>水谷　健人</t>
  </si>
  <si>
    <t>矢田　浩</t>
  </si>
  <si>
    <t>内科、小児科、外科</t>
  </si>
  <si>
    <t>笹邉　淳</t>
  </si>
  <si>
    <t>一志ささべクリニック</t>
  </si>
  <si>
    <t>鶴賀　龍樹</t>
  </si>
  <si>
    <t>早川　温子</t>
  </si>
  <si>
    <t>森本　真之助</t>
  </si>
  <si>
    <t>紀宝町立　相野谷診療所</t>
  </si>
  <si>
    <t>南牟婁郡紀宝町井内123番地19</t>
  </si>
  <si>
    <t>加島　江美子</t>
  </si>
  <si>
    <t>田島　祐</t>
  </si>
  <si>
    <t>脳神経外科・脊髄外科</t>
  </si>
  <si>
    <t>三井　安沙子</t>
  </si>
  <si>
    <t>リウマチ膠原病内科</t>
  </si>
  <si>
    <t>村田　幸雄</t>
  </si>
  <si>
    <t>市川　彩夏</t>
  </si>
  <si>
    <t>三吉　彩子</t>
  </si>
  <si>
    <t>田中　宏明</t>
  </si>
  <si>
    <t>伊賀市国民健康保険阿波診療所</t>
  </si>
  <si>
    <t>駒田　雄一</t>
  </si>
  <si>
    <t>貴志　直哉</t>
  </si>
  <si>
    <t>奥西　有希</t>
  </si>
  <si>
    <t>リウマチ・膠原病科</t>
  </si>
  <si>
    <t>鳥谷部　真実</t>
  </si>
  <si>
    <t>はるひ野総合診療クリニック</t>
  </si>
  <si>
    <t>内科、小児科、女性内科</t>
  </si>
  <si>
    <t>渡辺　淳</t>
  </si>
  <si>
    <t>熊野市立五郷診療所</t>
  </si>
  <si>
    <t>内科、外科、漢方内科、心療内科</t>
  </si>
  <si>
    <t>嶋　久子</t>
  </si>
  <si>
    <t>医療法人　楊柳会　嶋内科</t>
  </si>
  <si>
    <t>鈴鹿市柳町637</t>
  </si>
  <si>
    <t>内科、小児科、皮膚科</t>
  </si>
  <si>
    <t>鈴木　龍二</t>
  </si>
  <si>
    <t>西出　孝</t>
  </si>
  <si>
    <t>西出医院</t>
  </si>
  <si>
    <t>戸田　泰信</t>
  </si>
  <si>
    <t>玉田　達也</t>
  </si>
  <si>
    <t>リウマチ膠原病科</t>
  </si>
  <si>
    <t>藤浦　悠希</t>
  </si>
  <si>
    <t>植木　博之</t>
  </si>
  <si>
    <t>渡辺　佳夫</t>
  </si>
  <si>
    <t>ベタニヤ内科・神経内科クリニック</t>
  </si>
  <si>
    <t>福井　博志</t>
  </si>
  <si>
    <t>内科（リハビリテーション科）</t>
  </si>
  <si>
    <t>小野　直見</t>
  </si>
  <si>
    <t>小野循環器科・内科</t>
  </si>
  <si>
    <t>伊勢市御薗町長屋2181</t>
  </si>
  <si>
    <t>岡林　和弘</t>
  </si>
  <si>
    <t>野田　知宏</t>
  </si>
  <si>
    <t>おひさま在宅クリニック</t>
  </si>
  <si>
    <t>松阪市川井町157番地1</t>
  </si>
  <si>
    <t>内科・緩和ケア内科</t>
  </si>
  <si>
    <t>杉岡　恭子</t>
  </si>
  <si>
    <t>山田　憲隆</t>
  </si>
  <si>
    <t>森谷　朋子</t>
  </si>
  <si>
    <t>常岡　克伸</t>
  </si>
  <si>
    <t>吉村　智士</t>
  </si>
  <si>
    <t>吉村クリニック</t>
  </si>
  <si>
    <t>木村　伸悟</t>
  </si>
  <si>
    <t>医療法人社団みどりの風　さくらクリニック松阪</t>
  </si>
  <si>
    <t>泌尿器科（血液透析）</t>
  </si>
  <si>
    <t>佐藤　浩生</t>
  </si>
  <si>
    <t>医療法人 佐藤クリニック</t>
  </si>
  <si>
    <t>医療法人社団嘉祥会　堀江クリニック</t>
  </si>
  <si>
    <t>内科・老年内科・循環器内科・消化器内科・リハビリテーション科</t>
  </si>
  <si>
    <t>町永　幹月</t>
  </si>
  <si>
    <t>吉澤　太郎</t>
  </si>
  <si>
    <t>鈴木　貴道</t>
  </si>
  <si>
    <t>岩中　宗一</t>
  </si>
  <si>
    <t>中瀬　晃宏</t>
  </si>
  <si>
    <t>吉川　真史</t>
  </si>
  <si>
    <t>江角　真輝</t>
  </si>
  <si>
    <t>松阪市民病院（医科）</t>
  </si>
  <si>
    <t>桑名市長島町横満蔵573</t>
  </si>
  <si>
    <t>松阪市下村町993番地</t>
  </si>
  <si>
    <t>松阪市鎌田町234番地1</t>
  </si>
  <si>
    <t>伊勢市常磐2丁目4番35号</t>
  </si>
  <si>
    <t>度会郡玉城町佐田881</t>
  </si>
  <si>
    <t>津市榊原町777</t>
  </si>
  <si>
    <t>津市一身田町333番地</t>
  </si>
  <si>
    <t>津市西丸之内29番29号</t>
  </si>
  <si>
    <t>四日市市生桑町196番地の1</t>
  </si>
  <si>
    <t>鈴鹿市野村町200番地1</t>
  </si>
  <si>
    <t>四日市市大字茂福741</t>
  </si>
  <si>
    <t>松阪市中万町1424</t>
  </si>
  <si>
    <t>名張市鴻之台二番町29番地1</t>
  </si>
  <si>
    <t>員弁郡東員町六把野新田153</t>
  </si>
  <si>
    <t>四日市市青葉町800番283</t>
  </si>
  <si>
    <t>四日市市西富田町168番地1</t>
  </si>
  <si>
    <t>松阪市立野町200</t>
  </si>
  <si>
    <t>津市久居明神町風早2336</t>
  </si>
  <si>
    <t>津市柳山津興3306番地</t>
  </si>
  <si>
    <t>津市藤方66</t>
  </si>
  <si>
    <t>北牟婁郡紀北町東長島592</t>
  </si>
  <si>
    <t>四日市市生桑町1455</t>
  </si>
  <si>
    <t>三重郡川越町豊田一色351番の1</t>
  </si>
  <si>
    <t>四日市市富田浜町26番14号</t>
  </si>
  <si>
    <t>伊賀市猿野1339番地の1</t>
  </si>
  <si>
    <t>津市片田志袋町483</t>
  </si>
  <si>
    <t>四日市市中部6番8号</t>
  </si>
  <si>
    <t>四日市市羽津町15番26号</t>
  </si>
  <si>
    <t>志摩市磯部町迫間375番地</t>
  </si>
  <si>
    <t>令和８年２月１日時点　難病指定医名簿</t>
    <rPh sb="11" eb="13">
      <t>ナンビョウ</t>
    </rPh>
    <phoneticPr fontId="18"/>
  </si>
  <si>
    <t>津市榊原町777</t>
    <phoneticPr fontId="18"/>
  </si>
  <si>
    <t>独立行政法人国立病院機構　三重中央医療センター</t>
    <phoneticPr fontId="18"/>
  </si>
  <si>
    <t>独立行政法人国立病院機構三重病院</t>
    <phoneticPr fontId="18"/>
  </si>
  <si>
    <t>伊勢赤十字病院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</si>
</sst>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1E3E-B3EA-4959-90E9-97EEA26F145D}">
  <sheetPr>
    <pageSetUpPr fitToPage="1"/>
  </sheetPr>
  <dimension ref="A1:E1770"/>
  <sheetViews>
    <sheetView tabSelected="1" workbookViewId="0">
      <selection activeCell="C1" sqref="C1"/>
    </sheetView>
  </sheetViews>
  <sheetFormatPr defaultRowHeight="18" x14ac:dyDescent="0.55000000000000004"/>
  <cols>
    <col min="1" max="1" width="22.83203125" customWidth="1"/>
    <col min="2" max="2" width="68.33203125" customWidth="1"/>
    <col min="3" max="3" width="50.9140625" customWidth="1"/>
    <col min="4" max="4" width="16.4140625" customWidth="1"/>
    <col min="5" max="5" width="72.83203125" customWidth="1"/>
  </cols>
  <sheetData>
    <row r="1" spans="1:5" ht="29" x14ac:dyDescent="0.55000000000000004">
      <c r="A1" s="3" t="s">
        <v>3097</v>
      </c>
    </row>
    <row r="2" spans="1:5" x14ac:dyDescent="0.5500000000000000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55000000000000004">
      <c r="A3" s="1" t="s">
        <v>2468</v>
      </c>
      <c r="B3" s="1" t="s">
        <v>1702</v>
      </c>
      <c r="C3" s="1" t="s">
        <v>1703</v>
      </c>
      <c r="D3" s="1" t="str">
        <f>"0594-24-6914  "</f>
        <v xml:space="preserve">0594-24-6914  </v>
      </c>
      <c r="E3" s="1" t="s">
        <v>14</v>
      </c>
    </row>
    <row r="4" spans="1:5" x14ac:dyDescent="0.55000000000000004">
      <c r="A4" s="1" t="s">
        <v>1701</v>
      </c>
      <c r="B4" s="1" t="s">
        <v>1702</v>
      </c>
      <c r="C4" s="1" t="s">
        <v>1703</v>
      </c>
      <c r="D4" s="1" t="str">
        <f>"0594-24-6914  "</f>
        <v xml:space="preserve">0594-24-6914  </v>
      </c>
      <c r="E4" s="1" t="s">
        <v>14</v>
      </c>
    </row>
    <row r="5" spans="1:5" x14ac:dyDescent="0.55000000000000004">
      <c r="A5" s="1" t="s">
        <v>695</v>
      </c>
      <c r="B5" s="1" t="s">
        <v>696</v>
      </c>
      <c r="C5" s="1" t="str">
        <f>"桑名市大福寺跡437-1"</f>
        <v>桑名市大福寺跡437-1</v>
      </c>
      <c r="D5" s="1" t="str">
        <f>"0594-27-5011  "</f>
        <v xml:space="preserve">0594-27-5011  </v>
      </c>
      <c r="E5" s="1" t="s">
        <v>12</v>
      </c>
    </row>
    <row r="6" spans="1:5" x14ac:dyDescent="0.55000000000000004">
      <c r="A6" s="1" t="s">
        <v>1750</v>
      </c>
      <c r="B6" s="1" t="s">
        <v>1751</v>
      </c>
      <c r="C6" s="1" t="str">
        <f>"桑名市野田三丁目19-9"</f>
        <v>桑名市野田三丁目19-9</v>
      </c>
      <c r="D6" s="1" t="str">
        <f>"0594-31-8000  "</f>
        <v xml:space="preserve">0594-31-8000  </v>
      </c>
      <c r="E6" s="1" t="s">
        <v>14</v>
      </c>
    </row>
    <row r="7" spans="1:5" x14ac:dyDescent="0.55000000000000004">
      <c r="A7" s="1" t="s">
        <v>730</v>
      </c>
      <c r="B7" s="1" t="s">
        <v>731</v>
      </c>
      <c r="C7" s="1" t="s">
        <v>732</v>
      </c>
      <c r="D7" s="1" t="str">
        <f>"0594-31-1200  "</f>
        <v xml:space="preserve">0594-31-1200  </v>
      </c>
      <c r="E7" s="1" t="s">
        <v>733</v>
      </c>
    </row>
    <row r="8" spans="1:5" x14ac:dyDescent="0.55000000000000004">
      <c r="A8" s="1" t="s">
        <v>913</v>
      </c>
      <c r="B8" s="1" t="s">
        <v>914</v>
      </c>
      <c r="C8" s="1" t="str">
        <f>"桑名市福島850-5"</f>
        <v>桑名市福島850-5</v>
      </c>
      <c r="D8" s="1" t="str">
        <f>"0594-24-9696  "</f>
        <v xml:space="preserve">0594-24-9696  </v>
      </c>
      <c r="E8" s="1" t="s">
        <v>6</v>
      </c>
    </row>
    <row r="9" spans="1:5" x14ac:dyDescent="0.55000000000000004">
      <c r="A9" s="1" t="s">
        <v>976</v>
      </c>
      <c r="B9" s="1" t="s">
        <v>2244</v>
      </c>
      <c r="C9" s="1" t="str">
        <f>"桑名市五反田2008-120"</f>
        <v>桑名市五反田2008-120</v>
      </c>
      <c r="D9" s="1" t="str">
        <f>"0594-82-7575  "</f>
        <v xml:space="preserve">0594-82-7575  </v>
      </c>
      <c r="E9" s="1" t="s">
        <v>2245</v>
      </c>
    </row>
    <row r="10" spans="1:5" x14ac:dyDescent="0.55000000000000004">
      <c r="A10" s="1" t="s">
        <v>2242</v>
      </c>
      <c r="B10" s="1" t="s">
        <v>2243</v>
      </c>
      <c r="C10" s="1" t="str">
        <f>"桑名市大央町21-15"</f>
        <v>桑名市大央町21-15</v>
      </c>
      <c r="D10" s="1" t="str">
        <f>"0594-23-3547  "</f>
        <v xml:space="preserve">0594-23-3547  </v>
      </c>
      <c r="E10" s="1" t="s">
        <v>135</v>
      </c>
    </row>
    <row r="11" spans="1:5" x14ac:dyDescent="0.55000000000000004">
      <c r="A11" s="1" t="s">
        <v>272</v>
      </c>
      <c r="B11" s="1" t="s">
        <v>273</v>
      </c>
      <c r="C11" s="1" t="s">
        <v>274</v>
      </c>
      <c r="D11" s="1" t="str">
        <f>"0594-22-1550  "</f>
        <v xml:space="preserve">0594-22-1550  </v>
      </c>
      <c r="E11" s="1" t="s">
        <v>275</v>
      </c>
    </row>
    <row r="12" spans="1:5" x14ac:dyDescent="0.55000000000000004">
      <c r="A12" s="1" t="s">
        <v>198</v>
      </c>
      <c r="B12" s="1" t="s">
        <v>199</v>
      </c>
      <c r="C12" s="1" t="s">
        <v>200</v>
      </c>
      <c r="D12" s="1" t="str">
        <f>"0594-87-5222  "</f>
        <v xml:space="preserve">0594-87-5222  </v>
      </c>
      <c r="E12" s="1" t="s">
        <v>201</v>
      </c>
    </row>
    <row r="13" spans="1:5" x14ac:dyDescent="0.55000000000000004">
      <c r="A13" s="1" t="s">
        <v>965</v>
      </c>
      <c r="B13" s="1" t="s">
        <v>966</v>
      </c>
      <c r="C13" s="1" t="s">
        <v>967</v>
      </c>
      <c r="D13" s="1" t="str">
        <f>"0594-88-5757  "</f>
        <v xml:space="preserve">0594-88-5757  </v>
      </c>
      <c r="E13" s="1" t="s">
        <v>233</v>
      </c>
    </row>
    <row r="14" spans="1:5" x14ac:dyDescent="0.55000000000000004">
      <c r="A14" s="1" t="s">
        <v>202</v>
      </c>
      <c r="B14" s="1" t="s">
        <v>203</v>
      </c>
      <c r="C14" s="1" t="str">
        <f>"桑名市大仲新田327-29"</f>
        <v>桑名市大仲新田327-29</v>
      </c>
      <c r="D14" s="1" t="str">
        <f>"0594-31-0700  "</f>
        <v xml:space="preserve">0594-31-0700  </v>
      </c>
      <c r="E14" s="1" t="s">
        <v>14</v>
      </c>
    </row>
    <row r="15" spans="1:5" x14ac:dyDescent="0.55000000000000004">
      <c r="A15" s="1" t="s">
        <v>1625</v>
      </c>
      <c r="B15" s="1" t="s">
        <v>1626</v>
      </c>
      <c r="C15" s="1" t="s">
        <v>1627</v>
      </c>
      <c r="D15" s="1" t="str">
        <f>"0594-33-2133  "</f>
        <v xml:space="preserve">0594-33-2133  </v>
      </c>
      <c r="E15" s="1" t="s">
        <v>299</v>
      </c>
    </row>
    <row r="16" spans="1:5" x14ac:dyDescent="0.55000000000000004">
      <c r="A16" s="1" t="s">
        <v>2128</v>
      </c>
      <c r="B16" s="1" t="s">
        <v>1778</v>
      </c>
      <c r="C16" s="1" t="s">
        <v>1779</v>
      </c>
      <c r="D16" s="1" t="str">
        <f>"0594-31-4080  "</f>
        <v xml:space="preserve">0594-31-4080  </v>
      </c>
      <c r="E16" s="1" t="s">
        <v>2129</v>
      </c>
    </row>
    <row r="17" spans="1:5" x14ac:dyDescent="0.55000000000000004">
      <c r="A17" s="1" t="s">
        <v>1777</v>
      </c>
      <c r="B17" s="1" t="s">
        <v>1778</v>
      </c>
      <c r="C17" s="1" t="s">
        <v>1779</v>
      </c>
      <c r="D17" s="1" t="str">
        <f>"0594-31-4080  "</f>
        <v xml:space="preserve">0594-31-4080  </v>
      </c>
      <c r="E17" s="1" t="s">
        <v>23</v>
      </c>
    </row>
    <row r="18" spans="1:5" x14ac:dyDescent="0.55000000000000004">
      <c r="A18" s="1" t="s">
        <v>2333</v>
      </c>
      <c r="B18" s="1" t="s">
        <v>2334</v>
      </c>
      <c r="C18" s="1" t="str">
        <f>"桑名市伝馬町12-2 アメニティ桑名１階"</f>
        <v>桑名市伝馬町12-2 アメニティ桑名１階</v>
      </c>
      <c r="D18" s="1" t="str">
        <f>"0594-24-8883  "</f>
        <v xml:space="preserve">0594-24-8883  </v>
      </c>
      <c r="E18" s="1" t="s">
        <v>2335</v>
      </c>
    </row>
    <row r="19" spans="1:5" x14ac:dyDescent="0.55000000000000004">
      <c r="A19" s="1" t="s">
        <v>1086</v>
      </c>
      <c r="B19" s="1" t="s">
        <v>1087</v>
      </c>
      <c r="C19" s="1" t="s">
        <v>1088</v>
      </c>
      <c r="D19" s="1" t="str">
        <f>"0594-23-8811  "</f>
        <v xml:space="preserve">0594-23-8811  </v>
      </c>
      <c r="E19" s="1" t="s">
        <v>12</v>
      </c>
    </row>
    <row r="20" spans="1:5" x14ac:dyDescent="0.55000000000000004">
      <c r="A20" s="1" t="s">
        <v>791</v>
      </c>
      <c r="B20" s="1" t="s">
        <v>792</v>
      </c>
      <c r="C20" s="1" t="s">
        <v>793</v>
      </c>
      <c r="D20" s="1" t="str">
        <f>"0594-32-5511  "</f>
        <v xml:space="preserve">0594-32-5511  </v>
      </c>
      <c r="E20" s="1" t="s">
        <v>34</v>
      </c>
    </row>
    <row r="21" spans="1:5" x14ac:dyDescent="0.55000000000000004">
      <c r="A21" s="1" t="s">
        <v>392</v>
      </c>
      <c r="B21" s="1" t="s">
        <v>393</v>
      </c>
      <c r="C21" s="1" t="s">
        <v>394</v>
      </c>
      <c r="D21" s="1" t="str">
        <f>"0594-24-7225  "</f>
        <v xml:space="preserve">0594-24-7225  </v>
      </c>
      <c r="E21" s="1" t="s">
        <v>135</v>
      </c>
    </row>
    <row r="22" spans="1:5" x14ac:dyDescent="0.55000000000000004">
      <c r="A22" s="1" t="s">
        <v>2835</v>
      </c>
      <c r="B22" s="1" t="s">
        <v>2836</v>
      </c>
      <c r="C22" s="1" t="str">
        <f>"桑名市伊賀町55-2"</f>
        <v>桑名市伊賀町55-2</v>
      </c>
      <c r="D22" s="1" t="str">
        <f>"0594-22-5761  "</f>
        <v xml:space="preserve">0594-22-5761  </v>
      </c>
      <c r="E22" s="1" t="s">
        <v>6</v>
      </c>
    </row>
    <row r="23" spans="1:5" x14ac:dyDescent="0.55000000000000004">
      <c r="A23" s="1" t="s">
        <v>1434</v>
      </c>
      <c r="B23" s="1" t="s">
        <v>1435</v>
      </c>
      <c r="C23" s="1" t="s">
        <v>1436</v>
      </c>
      <c r="D23" s="1" t="str">
        <f>"0594-31-3100  "</f>
        <v xml:space="preserve">0594-31-3100  </v>
      </c>
      <c r="E23" s="1" t="s">
        <v>1437</v>
      </c>
    </row>
    <row r="24" spans="1:5" x14ac:dyDescent="0.55000000000000004">
      <c r="A24" s="1" t="s">
        <v>2862</v>
      </c>
      <c r="B24" s="1" t="s">
        <v>633</v>
      </c>
      <c r="C24" s="1" t="s">
        <v>634</v>
      </c>
      <c r="D24" s="1" t="str">
        <f t="shared" ref="D24:D29" si="0">"0594-23-0452  "</f>
        <v xml:space="preserve">0594-23-0452  </v>
      </c>
      <c r="E24" s="1" t="s">
        <v>106</v>
      </c>
    </row>
    <row r="25" spans="1:5" x14ac:dyDescent="0.55000000000000004">
      <c r="A25" s="1" t="s">
        <v>2866</v>
      </c>
      <c r="B25" s="1" t="s">
        <v>633</v>
      </c>
      <c r="C25" s="1" t="s">
        <v>634</v>
      </c>
      <c r="D25" s="1" t="str">
        <f t="shared" si="0"/>
        <v xml:space="preserve">0594-23-0452  </v>
      </c>
      <c r="E25" s="1" t="s">
        <v>59</v>
      </c>
    </row>
    <row r="26" spans="1:5" x14ac:dyDescent="0.55000000000000004">
      <c r="A26" s="1" t="s">
        <v>2417</v>
      </c>
      <c r="B26" s="1" t="s">
        <v>633</v>
      </c>
      <c r="C26" s="1" t="s">
        <v>634</v>
      </c>
      <c r="D26" s="1" t="str">
        <f t="shared" si="0"/>
        <v xml:space="preserve">0594-23-0452  </v>
      </c>
      <c r="E26" s="1" t="s">
        <v>14</v>
      </c>
    </row>
    <row r="27" spans="1:5" x14ac:dyDescent="0.55000000000000004">
      <c r="A27" s="1" t="s">
        <v>2090</v>
      </c>
      <c r="B27" s="1" t="s">
        <v>633</v>
      </c>
      <c r="C27" s="1" t="s">
        <v>634</v>
      </c>
      <c r="D27" s="1" t="str">
        <f t="shared" si="0"/>
        <v xml:space="preserve">0594-23-0452  </v>
      </c>
      <c r="E27" s="1" t="s">
        <v>23</v>
      </c>
    </row>
    <row r="28" spans="1:5" x14ac:dyDescent="0.55000000000000004">
      <c r="A28" s="1" t="s">
        <v>632</v>
      </c>
      <c r="B28" s="1" t="s">
        <v>633</v>
      </c>
      <c r="C28" s="1" t="s">
        <v>634</v>
      </c>
      <c r="D28" s="1" t="str">
        <f t="shared" si="0"/>
        <v xml:space="preserve">0594-23-0452  </v>
      </c>
      <c r="E28" s="1" t="s">
        <v>635</v>
      </c>
    </row>
    <row r="29" spans="1:5" x14ac:dyDescent="0.55000000000000004">
      <c r="A29" s="1" t="s">
        <v>2716</v>
      </c>
      <c r="B29" s="1" t="s">
        <v>633</v>
      </c>
      <c r="C29" s="1" t="s">
        <v>634</v>
      </c>
      <c r="D29" s="1" t="str">
        <f t="shared" si="0"/>
        <v xml:space="preserve">0594-23-0452  </v>
      </c>
      <c r="E29" s="1" t="s">
        <v>2717</v>
      </c>
    </row>
    <row r="30" spans="1:5" x14ac:dyDescent="0.55000000000000004">
      <c r="A30" s="1" t="s">
        <v>1093</v>
      </c>
      <c r="B30" s="1" t="s">
        <v>1094</v>
      </c>
      <c r="C30" s="1" t="str">
        <f>"桑名市筒尾6丁目9-19"</f>
        <v>桑名市筒尾6丁目9-19</v>
      </c>
      <c r="D30" s="1" t="str">
        <f>"0594-33-0919  "</f>
        <v xml:space="preserve">0594-33-0919  </v>
      </c>
      <c r="E30" s="1" t="s">
        <v>233</v>
      </c>
    </row>
    <row r="31" spans="1:5" x14ac:dyDescent="0.55000000000000004">
      <c r="A31" s="1" t="s">
        <v>1368</v>
      </c>
      <c r="B31" s="1" t="s">
        <v>1094</v>
      </c>
      <c r="C31" s="1" t="str">
        <f>"桑名市筒尾6丁目9-19"</f>
        <v>桑名市筒尾6丁目9-19</v>
      </c>
      <c r="D31" s="1" t="str">
        <f>"0594-33-0919  "</f>
        <v xml:space="preserve">0594-33-0919  </v>
      </c>
      <c r="E31" s="1" t="s">
        <v>1187</v>
      </c>
    </row>
    <row r="32" spans="1:5" x14ac:dyDescent="0.55000000000000004">
      <c r="A32" s="1" t="s">
        <v>1110</v>
      </c>
      <c r="B32" s="1" t="s">
        <v>1111</v>
      </c>
      <c r="C32" s="1" t="s">
        <v>1112</v>
      </c>
      <c r="D32" s="1" t="str">
        <f>"0594-27-1703  "</f>
        <v xml:space="preserve">0594-27-1703  </v>
      </c>
      <c r="E32" s="1" t="s">
        <v>107</v>
      </c>
    </row>
    <row r="33" spans="1:5" x14ac:dyDescent="0.55000000000000004">
      <c r="A33" s="1" t="s">
        <v>1971</v>
      </c>
      <c r="B33" s="1" t="s">
        <v>975</v>
      </c>
      <c r="C33" s="1" t="s">
        <v>1598</v>
      </c>
      <c r="D33" s="1" t="str">
        <f>"0594-41-4781  "</f>
        <v xml:space="preserve">0594-41-4781  </v>
      </c>
      <c r="E33" s="1" t="s">
        <v>6</v>
      </c>
    </row>
    <row r="34" spans="1:5" x14ac:dyDescent="0.55000000000000004">
      <c r="A34" s="1" t="s">
        <v>1597</v>
      </c>
      <c r="B34" s="1" t="s">
        <v>975</v>
      </c>
      <c r="C34" s="1" t="s">
        <v>1598</v>
      </c>
      <c r="D34" s="1" t="str">
        <f>"0594-41-4781  "</f>
        <v xml:space="preserve">0594-41-4781  </v>
      </c>
      <c r="E34" s="1" t="s">
        <v>14</v>
      </c>
    </row>
    <row r="35" spans="1:5" x14ac:dyDescent="0.55000000000000004">
      <c r="A35" s="1" t="s">
        <v>2638</v>
      </c>
      <c r="B35" s="1" t="s">
        <v>975</v>
      </c>
      <c r="C35" s="1" t="s">
        <v>1598</v>
      </c>
      <c r="D35" s="1" t="str">
        <f>"0594-41-4781  "</f>
        <v xml:space="preserve">0594-41-4781  </v>
      </c>
      <c r="E35" s="1" t="s">
        <v>2248</v>
      </c>
    </row>
    <row r="36" spans="1:5" x14ac:dyDescent="0.55000000000000004">
      <c r="A36" s="1" t="s">
        <v>2247</v>
      </c>
      <c r="B36" s="1" t="s">
        <v>975</v>
      </c>
      <c r="C36" s="1" t="s">
        <v>1598</v>
      </c>
      <c r="D36" s="1" t="str">
        <f>"0594-41-4781  "</f>
        <v xml:space="preserve">0594-41-4781  </v>
      </c>
      <c r="E36" s="1" t="s">
        <v>2248</v>
      </c>
    </row>
    <row r="37" spans="1:5" x14ac:dyDescent="0.55000000000000004">
      <c r="A37" s="1" t="s">
        <v>1467</v>
      </c>
      <c r="B37" s="1" t="s">
        <v>1468</v>
      </c>
      <c r="C37" s="1" t="str">
        <f>"桑名市大字赤尾2031-1"</f>
        <v>桑名市大字赤尾2031-1</v>
      </c>
      <c r="D37" s="1" t="str">
        <f>"0594-32-4112  "</f>
        <v xml:space="preserve">0594-32-4112  </v>
      </c>
      <c r="E37" s="1" t="s">
        <v>352</v>
      </c>
    </row>
    <row r="38" spans="1:5" x14ac:dyDescent="0.55000000000000004">
      <c r="A38" s="1" t="s">
        <v>1787</v>
      </c>
      <c r="B38" s="1" t="s">
        <v>1788</v>
      </c>
      <c r="C38" s="1" t="s">
        <v>1789</v>
      </c>
      <c r="D38" s="1" t="str">
        <f>"0594-23-3200  "</f>
        <v xml:space="preserve">0594-23-3200  </v>
      </c>
      <c r="E38" s="1" t="s">
        <v>1790</v>
      </c>
    </row>
    <row r="39" spans="1:5" x14ac:dyDescent="0.55000000000000004">
      <c r="A39" s="1" t="s">
        <v>609</v>
      </c>
      <c r="B39" s="1" t="s">
        <v>610</v>
      </c>
      <c r="C39" s="1" t="s">
        <v>611</v>
      </c>
      <c r="D39" s="1" t="str">
        <f>"0594-21-2460  "</f>
        <v xml:space="preserve">0594-21-2460  </v>
      </c>
      <c r="E39" s="1" t="s">
        <v>34</v>
      </c>
    </row>
    <row r="40" spans="1:5" x14ac:dyDescent="0.55000000000000004">
      <c r="A40" s="1" t="s">
        <v>2121</v>
      </c>
      <c r="B40" s="1" t="s">
        <v>2122</v>
      </c>
      <c r="C40" s="1" t="s">
        <v>2123</v>
      </c>
      <c r="D40" s="1" t="str">
        <f>"0594-41-5155  "</f>
        <v xml:space="preserve">0594-41-5155  </v>
      </c>
      <c r="E40" s="1" t="s">
        <v>2124</v>
      </c>
    </row>
    <row r="41" spans="1:5" x14ac:dyDescent="0.55000000000000004">
      <c r="A41" s="1" t="s">
        <v>1951</v>
      </c>
      <c r="B41" s="1" t="s">
        <v>105</v>
      </c>
      <c r="C41" s="1" t="s">
        <v>171</v>
      </c>
      <c r="D41" s="1" t="str">
        <f>"0594-22-0460  "</f>
        <v xml:space="preserve">0594-22-0460  </v>
      </c>
      <c r="E41" s="1" t="s">
        <v>23</v>
      </c>
    </row>
    <row r="42" spans="1:5" x14ac:dyDescent="0.55000000000000004">
      <c r="A42" s="1" t="s">
        <v>1410</v>
      </c>
      <c r="B42" s="1" t="s">
        <v>1411</v>
      </c>
      <c r="C42" s="1" t="s">
        <v>1412</v>
      </c>
      <c r="D42" s="1" t="str">
        <f>"0594-32-7500  "</f>
        <v xml:space="preserve">0594-32-7500  </v>
      </c>
      <c r="E42" s="1" t="s">
        <v>1413</v>
      </c>
    </row>
    <row r="43" spans="1:5" x14ac:dyDescent="0.55000000000000004">
      <c r="A43" s="1" t="s">
        <v>2523</v>
      </c>
      <c r="B43" s="1" t="s">
        <v>57</v>
      </c>
      <c r="C43" s="1" t="s">
        <v>58</v>
      </c>
      <c r="D43" s="1" t="str">
        <f>"0594-45-0555  "</f>
        <v xml:space="preserve">0594-45-0555  </v>
      </c>
      <c r="E43" s="1" t="s">
        <v>2524</v>
      </c>
    </row>
    <row r="44" spans="1:5" x14ac:dyDescent="0.55000000000000004">
      <c r="A44" s="1" t="s">
        <v>1479</v>
      </c>
      <c r="B44" s="1" t="s">
        <v>57</v>
      </c>
      <c r="C44" s="1" t="s">
        <v>58</v>
      </c>
      <c r="D44" s="1" t="str">
        <f>"0594-45-0555  "</f>
        <v xml:space="preserve">0594-45-0555  </v>
      </c>
      <c r="E44" s="1" t="s">
        <v>6</v>
      </c>
    </row>
    <row r="45" spans="1:5" x14ac:dyDescent="0.55000000000000004">
      <c r="A45" s="1" t="s">
        <v>1582</v>
      </c>
      <c r="B45" s="1" t="s">
        <v>57</v>
      </c>
      <c r="C45" s="1" t="s">
        <v>58</v>
      </c>
      <c r="D45" s="1" t="str">
        <f>"0594-45-0555  "</f>
        <v xml:space="preserve">0594-45-0555  </v>
      </c>
      <c r="E45" s="1" t="s">
        <v>1583</v>
      </c>
    </row>
    <row r="46" spans="1:5" x14ac:dyDescent="0.55000000000000004">
      <c r="A46" s="1" t="s">
        <v>1592</v>
      </c>
      <c r="B46" s="1" t="s">
        <v>57</v>
      </c>
      <c r="C46" s="1" t="s">
        <v>58</v>
      </c>
      <c r="D46" s="1" t="str">
        <f>"0594-45-0555  "</f>
        <v xml:space="preserve">0594-45-0555  </v>
      </c>
      <c r="E46" s="1" t="s">
        <v>6</v>
      </c>
    </row>
    <row r="47" spans="1:5" x14ac:dyDescent="0.55000000000000004">
      <c r="A47" s="1" t="s">
        <v>682</v>
      </c>
      <c r="B47" s="1" t="s">
        <v>683</v>
      </c>
      <c r="C47" s="1" t="s">
        <v>684</v>
      </c>
      <c r="D47" s="1" t="str">
        <f>"0594-31-2022  "</f>
        <v xml:space="preserve">0594-31-2022  </v>
      </c>
      <c r="E47" s="1" t="s">
        <v>227</v>
      </c>
    </row>
    <row r="48" spans="1:5" x14ac:dyDescent="0.55000000000000004">
      <c r="A48" s="1" t="s">
        <v>169</v>
      </c>
      <c r="B48" s="1" t="s">
        <v>170</v>
      </c>
      <c r="C48" s="1" t="s">
        <v>171</v>
      </c>
      <c r="D48" s="1" t="str">
        <f>"0594-22-0460  "</f>
        <v xml:space="preserve">0594-22-0460  </v>
      </c>
      <c r="E48" s="1" t="s">
        <v>23</v>
      </c>
    </row>
    <row r="49" spans="1:5" x14ac:dyDescent="0.55000000000000004">
      <c r="A49" s="1" t="s">
        <v>2724</v>
      </c>
      <c r="B49" s="1" t="s">
        <v>170</v>
      </c>
      <c r="C49" s="1" t="s">
        <v>171</v>
      </c>
      <c r="D49" s="1" t="str">
        <f>"0594-22-0460  "</f>
        <v xml:space="preserve">0594-22-0460  </v>
      </c>
      <c r="E49" s="1" t="s">
        <v>6</v>
      </c>
    </row>
    <row r="50" spans="1:5" x14ac:dyDescent="0.55000000000000004">
      <c r="A50" s="1" t="s">
        <v>2725</v>
      </c>
      <c r="B50" s="1" t="s">
        <v>170</v>
      </c>
      <c r="C50" s="1" t="s">
        <v>171</v>
      </c>
      <c r="D50" s="1" t="str">
        <f>"0594-22-0460  "</f>
        <v xml:space="preserve">0594-22-0460  </v>
      </c>
      <c r="E50" s="1" t="s">
        <v>23</v>
      </c>
    </row>
    <row r="51" spans="1:5" x14ac:dyDescent="0.55000000000000004">
      <c r="A51" s="1" t="s">
        <v>168</v>
      </c>
      <c r="B51" s="1" t="s">
        <v>170</v>
      </c>
      <c r="C51" s="1" t="s">
        <v>2955</v>
      </c>
      <c r="D51" s="1" t="str">
        <f>"0594-22-0460  "</f>
        <v xml:space="preserve">0594-22-0460  </v>
      </c>
      <c r="E51" s="1" t="s">
        <v>6</v>
      </c>
    </row>
    <row r="52" spans="1:5" x14ac:dyDescent="0.55000000000000004">
      <c r="A52" s="1" t="s">
        <v>755</v>
      </c>
      <c r="B52" s="1" t="s">
        <v>31</v>
      </c>
      <c r="C52" s="1" t="s">
        <v>756</v>
      </c>
      <c r="D52" s="1" t="str">
        <f>"0594-22-0800  "</f>
        <v xml:space="preserve">0594-22-0800  </v>
      </c>
      <c r="E52" s="1" t="s">
        <v>19</v>
      </c>
    </row>
    <row r="53" spans="1:5" x14ac:dyDescent="0.55000000000000004">
      <c r="A53" s="1" t="s">
        <v>2174</v>
      </c>
      <c r="B53" s="1" t="s">
        <v>2175</v>
      </c>
      <c r="C53" s="1" t="str">
        <f>"桑名市大山田1丁目7-8"</f>
        <v>桑名市大山田1丁目7-8</v>
      </c>
      <c r="D53" s="1" t="str">
        <f>"0594-31-8733  "</f>
        <v xml:space="preserve">0594-31-8733  </v>
      </c>
      <c r="E53" s="1" t="s">
        <v>2176</v>
      </c>
    </row>
    <row r="54" spans="1:5" x14ac:dyDescent="0.55000000000000004">
      <c r="A54" s="1" t="s">
        <v>1504</v>
      </c>
      <c r="B54" s="1" t="s">
        <v>1505</v>
      </c>
      <c r="C54" s="1" t="s">
        <v>1506</v>
      </c>
      <c r="D54" s="1" t="str">
        <f>"0594-22-1010  "</f>
        <v xml:space="preserve">0594-22-1010  </v>
      </c>
      <c r="E54" s="1" t="s">
        <v>106</v>
      </c>
    </row>
    <row r="55" spans="1:5" x14ac:dyDescent="0.55000000000000004">
      <c r="A55" s="1" t="s">
        <v>1780</v>
      </c>
      <c r="B55" s="1" t="s">
        <v>1781</v>
      </c>
      <c r="C55" s="1" t="str">
        <f>"桑名市星見ヶ丘三丁目203-1"</f>
        <v>桑名市星見ヶ丘三丁目203-1</v>
      </c>
      <c r="D55" s="1" t="str">
        <f>"0594-32-5551  "</f>
        <v xml:space="preserve">0594-32-5551  </v>
      </c>
      <c r="E55" s="1" t="s">
        <v>135</v>
      </c>
    </row>
    <row r="56" spans="1:5" x14ac:dyDescent="0.55000000000000004">
      <c r="A56" s="1" t="s">
        <v>1931</v>
      </c>
      <c r="B56" s="1" t="s">
        <v>1932</v>
      </c>
      <c r="C56" s="1" t="s">
        <v>3068</v>
      </c>
      <c r="D56" s="1" t="str">
        <f>"0594-45-8111  "</f>
        <v xml:space="preserve">0594-45-8111  </v>
      </c>
      <c r="E56" s="1" t="s">
        <v>1933</v>
      </c>
    </row>
    <row r="57" spans="1:5" x14ac:dyDescent="0.55000000000000004">
      <c r="A57" s="1" t="s">
        <v>2533</v>
      </c>
      <c r="B57" s="1" t="s">
        <v>1932</v>
      </c>
      <c r="C57" s="1" t="s">
        <v>2534</v>
      </c>
      <c r="D57" s="1" t="str">
        <f>"0594-45-8111  "</f>
        <v xml:space="preserve">0594-45-8111  </v>
      </c>
      <c r="E57" s="1" t="s">
        <v>111</v>
      </c>
    </row>
    <row r="58" spans="1:5" x14ac:dyDescent="0.55000000000000004">
      <c r="A58" s="1" t="s">
        <v>726</v>
      </c>
      <c r="B58" s="1" t="s">
        <v>727</v>
      </c>
      <c r="C58" s="1" t="s">
        <v>728</v>
      </c>
      <c r="D58" s="1" t="str">
        <f>"0594-24-9870  "</f>
        <v xml:space="preserve">0594-24-9870  </v>
      </c>
      <c r="E58" s="1" t="s">
        <v>22</v>
      </c>
    </row>
    <row r="59" spans="1:5" x14ac:dyDescent="0.55000000000000004">
      <c r="A59" s="1" t="s">
        <v>206</v>
      </c>
      <c r="B59" s="1" t="s">
        <v>207</v>
      </c>
      <c r="C59" s="1" t="s">
        <v>208</v>
      </c>
      <c r="D59" s="1" t="str">
        <f>"0594-27-5137  "</f>
        <v xml:space="preserve">0594-27-5137  </v>
      </c>
      <c r="E59" s="1" t="s">
        <v>209</v>
      </c>
    </row>
    <row r="60" spans="1:5" x14ac:dyDescent="0.55000000000000004">
      <c r="A60" s="1" t="s">
        <v>926</v>
      </c>
      <c r="B60" s="1" t="s">
        <v>207</v>
      </c>
      <c r="C60" s="1" t="s">
        <v>208</v>
      </c>
      <c r="D60" s="1" t="str">
        <f>"0594-27-5137  "</f>
        <v xml:space="preserve">0594-27-5137  </v>
      </c>
      <c r="E60" s="1" t="s">
        <v>209</v>
      </c>
    </row>
    <row r="61" spans="1:5" x14ac:dyDescent="0.55000000000000004">
      <c r="A61" s="1" t="s">
        <v>2360</v>
      </c>
      <c r="B61" s="1" t="s">
        <v>1935</v>
      </c>
      <c r="C61" s="1" t="str">
        <f>"桑名市大字星川1011-1"</f>
        <v>桑名市大字星川1011-1</v>
      </c>
      <c r="D61" s="1" t="str">
        <f>"0594-31-4553  "</f>
        <v xml:space="preserve">0594-31-4553  </v>
      </c>
      <c r="E61" s="1" t="s">
        <v>227</v>
      </c>
    </row>
    <row r="62" spans="1:5" x14ac:dyDescent="0.55000000000000004">
      <c r="A62" s="1" t="s">
        <v>1934</v>
      </c>
      <c r="B62" s="1" t="s">
        <v>1935</v>
      </c>
      <c r="C62" s="1" t="str">
        <f>"桑名市大字星川1011-1"</f>
        <v>桑名市大字星川1011-1</v>
      </c>
      <c r="D62" s="1" t="str">
        <f>"0594-31-4553  "</f>
        <v xml:space="preserve">0594-31-4553  </v>
      </c>
      <c r="E62" s="1" t="s">
        <v>24</v>
      </c>
    </row>
    <row r="63" spans="1:5" x14ac:dyDescent="0.55000000000000004">
      <c r="A63" s="1" t="s">
        <v>395</v>
      </c>
      <c r="B63" s="1" t="s">
        <v>396</v>
      </c>
      <c r="C63" s="1" t="s">
        <v>397</v>
      </c>
      <c r="D63" s="1" t="str">
        <f>"0594-48-2100  "</f>
        <v xml:space="preserve">0594-48-2100  </v>
      </c>
      <c r="E63" s="1" t="s">
        <v>6</v>
      </c>
    </row>
    <row r="64" spans="1:5" x14ac:dyDescent="0.55000000000000004">
      <c r="A64" s="1" t="s">
        <v>2419</v>
      </c>
      <c r="B64" s="1" t="s">
        <v>27</v>
      </c>
      <c r="C64" s="1" t="s">
        <v>538</v>
      </c>
      <c r="D64" s="1" t="str">
        <f t="shared" ref="D64:D72" si="1">"0594-22-1711  "</f>
        <v xml:space="preserve">0594-22-1711  </v>
      </c>
      <c r="E64" s="1" t="s">
        <v>23</v>
      </c>
    </row>
    <row r="65" spans="1:5" x14ac:dyDescent="0.55000000000000004">
      <c r="A65" s="1" t="s">
        <v>2548</v>
      </c>
      <c r="B65" s="1" t="s">
        <v>27</v>
      </c>
      <c r="C65" s="1" t="s">
        <v>538</v>
      </c>
      <c r="D65" s="1" t="str">
        <f t="shared" si="1"/>
        <v xml:space="preserve">0594-22-1711  </v>
      </c>
      <c r="E65" s="1" t="s">
        <v>14</v>
      </c>
    </row>
    <row r="66" spans="1:5" x14ac:dyDescent="0.55000000000000004">
      <c r="A66" s="1" t="s">
        <v>2142</v>
      </c>
      <c r="B66" s="1" t="s">
        <v>27</v>
      </c>
      <c r="C66" s="1" t="s">
        <v>538</v>
      </c>
      <c r="D66" s="1" t="str">
        <f t="shared" si="1"/>
        <v xml:space="preserve">0594-22-1711  </v>
      </c>
      <c r="E66" s="1" t="s">
        <v>129</v>
      </c>
    </row>
    <row r="67" spans="1:5" x14ac:dyDescent="0.55000000000000004">
      <c r="A67" s="1" t="s">
        <v>537</v>
      </c>
      <c r="B67" s="1" t="s">
        <v>27</v>
      </c>
      <c r="C67" s="1" t="s">
        <v>538</v>
      </c>
      <c r="D67" s="1" t="str">
        <f t="shared" si="1"/>
        <v xml:space="preserve">0594-22-1711  </v>
      </c>
      <c r="E67" s="1" t="s">
        <v>23</v>
      </c>
    </row>
    <row r="68" spans="1:5" x14ac:dyDescent="0.55000000000000004">
      <c r="A68" s="1" t="s">
        <v>584</v>
      </c>
      <c r="B68" s="1" t="s">
        <v>27</v>
      </c>
      <c r="C68" s="1" t="s">
        <v>538</v>
      </c>
      <c r="D68" s="1" t="str">
        <f t="shared" si="1"/>
        <v xml:space="preserve">0594-22-1711  </v>
      </c>
      <c r="E68" s="1" t="s">
        <v>35</v>
      </c>
    </row>
    <row r="69" spans="1:5" x14ac:dyDescent="0.55000000000000004">
      <c r="A69" s="1" t="s">
        <v>989</v>
      </c>
      <c r="B69" s="1" t="s">
        <v>27</v>
      </c>
      <c r="C69" s="1" t="s">
        <v>538</v>
      </c>
      <c r="D69" s="1" t="str">
        <f t="shared" si="1"/>
        <v xml:space="preserve">0594-22-1711  </v>
      </c>
      <c r="E69" s="1" t="s">
        <v>111</v>
      </c>
    </row>
    <row r="70" spans="1:5" x14ac:dyDescent="0.55000000000000004">
      <c r="A70" s="1" t="s">
        <v>2841</v>
      </c>
      <c r="B70" s="1" t="s">
        <v>27</v>
      </c>
      <c r="C70" s="1" t="s">
        <v>538</v>
      </c>
      <c r="D70" s="1" t="str">
        <f t="shared" si="1"/>
        <v xml:space="preserve">0594-22-1711  </v>
      </c>
      <c r="E70" s="1" t="s">
        <v>327</v>
      </c>
    </row>
    <row r="71" spans="1:5" x14ac:dyDescent="0.55000000000000004">
      <c r="A71" s="1" t="s">
        <v>1636</v>
      </c>
      <c r="B71" s="1" t="s">
        <v>27</v>
      </c>
      <c r="C71" s="1" t="s">
        <v>538</v>
      </c>
      <c r="D71" s="1" t="str">
        <f t="shared" si="1"/>
        <v xml:space="preserve">0594-22-1711  </v>
      </c>
      <c r="E71" s="1" t="s">
        <v>106</v>
      </c>
    </row>
    <row r="72" spans="1:5" x14ac:dyDescent="0.55000000000000004">
      <c r="A72" s="1" t="s">
        <v>2689</v>
      </c>
      <c r="B72" s="1" t="s">
        <v>27</v>
      </c>
      <c r="C72" s="1" t="s">
        <v>538</v>
      </c>
      <c r="D72" s="1" t="str">
        <f t="shared" si="1"/>
        <v xml:space="preserve">0594-22-1711  </v>
      </c>
      <c r="E72" s="1" t="s">
        <v>106</v>
      </c>
    </row>
    <row r="73" spans="1:5" x14ac:dyDescent="0.55000000000000004">
      <c r="A73" s="1" t="s">
        <v>2145</v>
      </c>
      <c r="B73" s="1" t="s">
        <v>1129</v>
      </c>
      <c r="C73" s="1" t="s">
        <v>1130</v>
      </c>
      <c r="D73" s="1" t="str">
        <f>"0594-22-1111  "</f>
        <v xml:space="preserve">0594-22-1111  </v>
      </c>
      <c r="E73" s="1" t="s">
        <v>327</v>
      </c>
    </row>
    <row r="74" spans="1:5" x14ac:dyDescent="0.55000000000000004">
      <c r="A74" s="1" t="s">
        <v>1128</v>
      </c>
      <c r="B74" s="1" t="s">
        <v>1129</v>
      </c>
      <c r="C74" s="1" t="s">
        <v>1130</v>
      </c>
      <c r="D74" s="1" t="str">
        <f>"0594-22-1111  "</f>
        <v xml:space="preserve">0594-22-1111  </v>
      </c>
      <c r="E74" s="1" t="s">
        <v>134</v>
      </c>
    </row>
    <row r="75" spans="1:5" x14ac:dyDescent="0.55000000000000004">
      <c r="A75" s="1" t="s">
        <v>1140</v>
      </c>
      <c r="B75" s="1" t="s">
        <v>1129</v>
      </c>
      <c r="C75" s="1" t="s">
        <v>1130</v>
      </c>
      <c r="D75" s="1" t="str">
        <f>"0594-22-1111  "</f>
        <v xml:space="preserve">0594-22-1111  </v>
      </c>
      <c r="E75" s="1" t="s">
        <v>327</v>
      </c>
    </row>
    <row r="76" spans="1:5" x14ac:dyDescent="0.55000000000000004">
      <c r="A76" s="1" t="s">
        <v>133</v>
      </c>
      <c r="B76" s="1" t="s">
        <v>1129</v>
      </c>
      <c r="C76" s="1" t="s">
        <v>1130</v>
      </c>
      <c r="D76" s="1" t="str">
        <f>"0594-22-1111  "</f>
        <v xml:space="preserve">0594-22-1111  </v>
      </c>
      <c r="E76" s="1" t="s">
        <v>233</v>
      </c>
    </row>
    <row r="77" spans="1:5" x14ac:dyDescent="0.55000000000000004">
      <c r="A77" s="1" t="s">
        <v>709</v>
      </c>
      <c r="B77" s="1" t="s">
        <v>710</v>
      </c>
      <c r="C77" s="1" t="s">
        <v>711</v>
      </c>
      <c r="D77" s="1" t="str">
        <f>"0594-21-1159  "</f>
        <v xml:space="preserve">0594-21-1159  </v>
      </c>
      <c r="E77" s="1" t="s">
        <v>7</v>
      </c>
    </row>
    <row r="78" spans="1:5" x14ac:dyDescent="0.55000000000000004">
      <c r="A78" s="1" t="s">
        <v>1670</v>
      </c>
      <c r="B78" s="1" t="s">
        <v>122</v>
      </c>
      <c r="C78" s="1" t="s">
        <v>1671</v>
      </c>
      <c r="D78" s="1" t="str">
        <f>"0594-48-5311  "</f>
        <v xml:space="preserve">0594-48-5311  </v>
      </c>
      <c r="E78" s="1" t="s">
        <v>1672</v>
      </c>
    </row>
    <row r="79" spans="1:5" x14ac:dyDescent="0.55000000000000004">
      <c r="A79" s="1" t="s">
        <v>382</v>
      </c>
      <c r="B79" s="1" t="s">
        <v>383</v>
      </c>
      <c r="C79" s="1" t="s">
        <v>384</v>
      </c>
      <c r="D79" s="1" t="str">
        <f>"0594-22-8878  "</f>
        <v xml:space="preserve">0594-22-8878  </v>
      </c>
      <c r="E79" s="1" t="s">
        <v>34</v>
      </c>
    </row>
    <row r="80" spans="1:5" x14ac:dyDescent="0.55000000000000004">
      <c r="A80" s="1" t="s">
        <v>2311</v>
      </c>
      <c r="B80" s="1" t="s">
        <v>707</v>
      </c>
      <c r="C80" s="1" t="s">
        <v>708</v>
      </c>
      <c r="D80" s="1" t="str">
        <f t="shared" ref="D80:D124" si="2">"0594-22-1211  "</f>
        <v xml:space="preserve">0594-22-1211  </v>
      </c>
      <c r="E80" s="1" t="s">
        <v>123</v>
      </c>
    </row>
    <row r="81" spans="1:5" x14ac:dyDescent="0.55000000000000004">
      <c r="A81" s="1" t="s">
        <v>2332</v>
      </c>
      <c r="B81" s="1" t="s">
        <v>707</v>
      </c>
      <c r="C81" s="1" t="s">
        <v>708</v>
      </c>
      <c r="D81" s="1" t="str">
        <f t="shared" si="2"/>
        <v xml:space="preserve">0594-22-1211  </v>
      </c>
      <c r="E81" s="1" t="s">
        <v>111</v>
      </c>
    </row>
    <row r="82" spans="1:5" x14ac:dyDescent="0.55000000000000004">
      <c r="A82" s="1" t="s">
        <v>2055</v>
      </c>
      <c r="B82" s="1" t="s">
        <v>707</v>
      </c>
      <c r="C82" s="1" t="s">
        <v>708</v>
      </c>
      <c r="D82" s="1" t="str">
        <f t="shared" si="2"/>
        <v xml:space="preserve">0594-22-1211  </v>
      </c>
      <c r="E82" s="1" t="s">
        <v>111</v>
      </c>
    </row>
    <row r="83" spans="1:5" x14ac:dyDescent="0.55000000000000004">
      <c r="A83" s="1" t="s">
        <v>2409</v>
      </c>
      <c r="B83" s="1" t="s">
        <v>707</v>
      </c>
      <c r="C83" s="1" t="s">
        <v>708</v>
      </c>
      <c r="D83" s="1" t="str">
        <f t="shared" si="2"/>
        <v xml:space="preserve">0594-22-1211  </v>
      </c>
      <c r="E83" s="1" t="s">
        <v>123</v>
      </c>
    </row>
    <row r="84" spans="1:5" x14ac:dyDescent="0.55000000000000004">
      <c r="A84" s="1" t="s">
        <v>3031</v>
      </c>
      <c r="B84" s="1" t="s">
        <v>707</v>
      </c>
      <c r="C84" s="1" t="s">
        <v>708</v>
      </c>
      <c r="D84" s="1" t="str">
        <f t="shared" si="2"/>
        <v xml:space="preserve">0594-22-1211  </v>
      </c>
      <c r="E84" s="1" t="s">
        <v>3032</v>
      </c>
    </row>
    <row r="85" spans="1:5" x14ac:dyDescent="0.55000000000000004">
      <c r="A85" s="1" t="s">
        <v>2557</v>
      </c>
      <c r="B85" s="1" t="s">
        <v>707</v>
      </c>
      <c r="C85" s="1" t="s">
        <v>708</v>
      </c>
      <c r="D85" s="1" t="str">
        <f t="shared" si="2"/>
        <v xml:space="preserve">0594-22-1211  </v>
      </c>
      <c r="E85" s="1" t="s">
        <v>135</v>
      </c>
    </row>
    <row r="86" spans="1:5" x14ac:dyDescent="0.55000000000000004">
      <c r="A86" s="1" t="s">
        <v>706</v>
      </c>
      <c r="B86" s="1" t="s">
        <v>707</v>
      </c>
      <c r="C86" s="1" t="s">
        <v>708</v>
      </c>
      <c r="D86" s="1" t="str">
        <f t="shared" si="2"/>
        <v xml:space="preserve">0594-22-1211  </v>
      </c>
      <c r="E86" s="1" t="s">
        <v>35</v>
      </c>
    </row>
    <row r="87" spans="1:5" x14ac:dyDescent="0.55000000000000004">
      <c r="A87" s="1" t="s">
        <v>713</v>
      </c>
      <c r="B87" s="1" t="s">
        <v>707</v>
      </c>
      <c r="C87" s="1" t="s">
        <v>708</v>
      </c>
      <c r="D87" s="1" t="str">
        <f t="shared" si="2"/>
        <v xml:space="preserve">0594-22-1211  </v>
      </c>
      <c r="E87" s="1" t="s">
        <v>81</v>
      </c>
    </row>
    <row r="88" spans="1:5" x14ac:dyDescent="0.55000000000000004">
      <c r="A88" s="1" t="s">
        <v>714</v>
      </c>
      <c r="B88" s="1" t="s">
        <v>707</v>
      </c>
      <c r="C88" s="1" t="s">
        <v>708</v>
      </c>
      <c r="D88" s="1" t="str">
        <f t="shared" si="2"/>
        <v xml:space="preserve">0594-22-1211  </v>
      </c>
      <c r="E88" s="1" t="s">
        <v>715</v>
      </c>
    </row>
    <row r="89" spans="1:5" x14ac:dyDescent="0.55000000000000004">
      <c r="A89" s="1" t="s">
        <v>716</v>
      </c>
      <c r="B89" s="1" t="s">
        <v>707</v>
      </c>
      <c r="C89" s="1" t="s">
        <v>708</v>
      </c>
      <c r="D89" s="1" t="str">
        <f t="shared" si="2"/>
        <v xml:space="preserve">0594-22-1211  </v>
      </c>
      <c r="E89" s="1" t="s">
        <v>717</v>
      </c>
    </row>
    <row r="90" spans="1:5" x14ac:dyDescent="0.55000000000000004">
      <c r="A90" s="1" t="s">
        <v>720</v>
      </c>
      <c r="B90" s="1" t="s">
        <v>707</v>
      </c>
      <c r="C90" s="1" t="s">
        <v>708</v>
      </c>
      <c r="D90" s="1" t="str">
        <f t="shared" si="2"/>
        <v xml:space="preserve">0594-22-1211  </v>
      </c>
      <c r="E90" s="1" t="s">
        <v>14</v>
      </c>
    </row>
    <row r="91" spans="1:5" x14ac:dyDescent="0.55000000000000004">
      <c r="A91" s="1" t="s">
        <v>721</v>
      </c>
      <c r="B91" s="1" t="s">
        <v>707</v>
      </c>
      <c r="C91" s="1" t="s">
        <v>708</v>
      </c>
      <c r="D91" s="1" t="str">
        <f t="shared" si="2"/>
        <v xml:space="preserve">0594-22-1211  </v>
      </c>
      <c r="E91" s="1" t="s">
        <v>23</v>
      </c>
    </row>
    <row r="92" spans="1:5" x14ac:dyDescent="0.55000000000000004">
      <c r="A92" s="1" t="s">
        <v>722</v>
      </c>
      <c r="B92" s="1" t="s">
        <v>707</v>
      </c>
      <c r="C92" s="1" t="s">
        <v>708</v>
      </c>
      <c r="D92" s="1" t="str">
        <f t="shared" si="2"/>
        <v xml:space="preserve">0594-22-1211  </v>
      </c>
      <c r="E92" s="1" t="s">
        <v>23</v>
      </c>
    </row>
    <row r="93" spans="1:5" x14ac:dyDescent="0.55000000000000004">
      <c r="A93" s="1" t="s">
        <v>723</v>
      </c>
      <c r="B93" s="1" t="s">
        <v>707</v>
      </c>
      <c r="C93" s="1" t="s">
        <v>708</v>
      </c>
      <c r="D93" s="1" t="str">
        <f t="shared" si="2"/>
        <v xml:space="preserve">0594-22-1211  </v>
      </c>
      <c r="E93" s="1" t="s">
        <v>123</v>
      </c>
    </row>
    <row r="94" spans="1:5" x14ac:dyDescent="0.55000000000000004">
      <c r="A94" s="1" t="s">
        <v>724</v>
      </c>
      <c r="B94" s="1" t="s">
        <v>707</v>
      </c>
      <c r="C94" s="1" t="s">
        <v>708</v>
      </c>
      <c r="D94" s="1" t="str">
        <f t="shared" si="2"/>
        <v xml:space="preserve">0594-22-1211  </v>
      </c>
      <c r="E94" s="1" t="s">
        <v>725</v>
      </c>
    </row>
    <row r="95" spans="1:5" x14ac:dyDescent="0.55000000000000004">
      <c r="A95" s="1" t="s">
        <v>859</v>
      </c>
      <c r="B95" s="1" t="s">
        <v>707</v>
      </c>
      <c r="C95" s="1" t="s">
        <v>708</v>
      </c>
      <c r="D95" s="1" t="str">
        <f t="shared" si="2"/>
        <v xml:space="preserve">0594-22-1211  </v>
      </c>
      <c r="E95" s="1" t="s">
        <v>111</v>
      </c>
    </row>
    <row r="96" spans="1:5" x14ac:dyDescent="0.55000000000000004">
      <c r="A96" s="1" t="s">
        <v>873</v>
      </c>
      <c r="B96" s="1" t="s">
        <v>707</v>
      </c>
      <c r="C96" s="1" t="s">
        <v>708</v>
      </c>
      <c r="D96" s="1" t="str">
        <f t="shared" si="2"/>
        <v xml:space="preserve">0594-22-1211  </v>
      </c>
      <c r="E96" s="1" t="s">
        <v>81</v>
      </c>
    </row>
    <row r="97" spans="1:5" x14ac:dyDescent="0.55000000000000004">
      <c r="A97" s="1" t="s">
        <v>1019</v>
      </c>
      <c r="B97" s="1" t="s">
        <v>707</v>
      </c>
      <c r="C97" s="1" t="s">
        <v>708</v>
      </c>
      <c r="D97" s="1" t="str">
        <f t="shared" si="2"/>
        <v xml:space="preserve">0594-22-1211  </v>
      </c>
      <c r="E97" s="1" t="s">
        <v>23</v>
      </c>
    </row>
    <row r="98" spans="1:5" x14ac:dyDescent="0.55000000000000004">
      <c r="A98" s="1" t="s">
        <v>1040</v>
      </c>
      <c r="B98" s="1" t="s">
        <v>707</v>
      </c>
      <c r="C98" s="1" t="s">
        <v>708</v>
      </c>
      <c r="D98" s="1" t="str">
        <f t="shared" si="2"/>
        <v xml:space="preserve">0594-22-1211  </v>
      </c>
      <c r="E98" s="1" t="s">
        <v>131</v>
      </c>
    </row>
    <row r="99" spans="1:5" x14ac:dyDescent="0.55000000000000004">
      <c r="A99" s="1" t="s">
        <v>2001</v>
      </c>
      <c r="B99" s="1" t="s">
        <v>707</v>
      </c>
      <c r="C99" s="1" t="s">
        <v>708</v>
      </c>
      <c r="D99" s="1" t="str">
        <f t="shared" si="2"/>
        <v xml:space="preserve">0594-22-1211  </v>
      </c>
      <c r="E99" s="1" t="s">
        <v>23</v>
      </c>
    </row>
    <row r="100" spans="1:5" x14ac:dyDescent="0.55000000000000004">
      <c r="A100" s="1" t="s">
        <v>1075</v>
      </c>
      <c r="B100" s="1" t="s">
        <v>707</v>
      </c>
      <c r="C100" s="1" t="s">
        <v>708</v>
      </c>
      <c r="D100" s="1" t="str">
        <f t="shared" si="2"/>
        <v xml:space="preserve">0594-22-1211  </v>
      </c>
      <c r="E100" s="1" t="s">
        <v>135</v>
      </c>
    </row>
    <row r="101" spans="1:5" x14ac:dyDescent="0.55000000000000004">
      <c r="A101" s="1" t="s">
        <v>1084</v>
      </c>
      <c r="B101" s="1" t="s">
        <v>707</v>
      </c>
      <c r="C101" s="1" t="s">
        <v>708</v>
      </c>
      <c r="D101" s="1" t="str">
        <f t="shared" si="2"/>
        <v xml:space="preserve">0594-22-1211  </v>
      </c>
      <c r="E101" s="1" t="s">
        <v>106</v>
      </c>
    </row>
    <row r="102" spans="1:5" x14ac:dyDescent="0.55000000000000004">
      <c r="A102" s="1" t="s">
        <v>1085</v>
      </c>
      <c r="B102" s="1" t="s">
        <v>707</v>
      </c>
      <c r="C102" s="1" t="s">
        <v>708</v>
      </c>
      <c r="D102" s="1" t="str">
        <f t="shared" si="2"/>
        <v xml:space="preserve">0594-22-1211  </v>
      </c>
      <c r="E102" s="1" t="s">
        <v>106</v>
      </c>
    </row>
    <row r="103" spans="1:5" x14ac:dyDescent="0.55000000000000004">
      <c r="A103" s="1" t="s">
        <v>1090</v>
      </c>
      <c r="B103" s="1" t="s">
        <v>707</v>
      </c>
      <c r="C103" s="1" t="s">
        <v>708</v>
      </c>
      <c r="D103" s="1" t="str">
        <f t="shared" si="2"/>
        <v xml:space="preserve">0594-22-1211  </v>
      </c>
      <c r="E103" s="1" t="s">
        <v>14</v>
      </c>
    </row>
    <row r="104" spans="1:5" x14ac:dyDescent="0.55000000000000004">
      <c r="A104" s="1" t="s">
        <v>1091</v>
      </c>
      <c r="B104" s="1" t="s">
        <v>707</v>
      </c>
      <c r="C104" s="1" t="s">
        <v>708</v>
      </c>
      <c r="D104" s="1" t="str">
        <f t="shared" si="2"/>
        <v xml:space="preserve">0594-22-1211  </v>
      </c>
      <c r="E104" s="1" t="s">
        <v>14</v>
      </c>
    </row>
    <row r="105" spans="1:5" x14ac:dyDescent="0.55000000000000004">
      <c r="A105" s="1" t="s">
        <v>1092</v>
      </c>
      <c r="B105" s="1" t="s">
        <v>707</v>
      </c>
      <c r="C105" s="1" t="s">
        <v>708</v>
      </c>
      <c r="D105" s="1" t="str">
        <f t="shared" si="2"/>
        <v xml:space="preserve">0594-22-1211  </v>
      </c>
      <c r="E105" s="1" t="s">
        <v>22</v>
      </c>
    </row>
    <row r="106" spans="1:5" x14ac:dyDescent="0.55000000000000004">
      <c r="A106" s="1" t="s">
        <v>1156</v>
      </c>
      <c r="B106" s="1" t="s">
        <v>707</v>
      </c>
      <c r="C106" s="1" t="s">
        <v>708</v>
      </c>
      <c r="D106" s="1" t="str">
        <f t="shared" si="2"/>
        <v xml:space="preserve">0594-22-1211  </v>
      </c>
      <c r="E106" s="1" t="s">
        <v>135</v>
      </c>
    </row>
    <row r="107" spans="1:5" x14ac:dyDescent="0.55000000000000004">
      <c r="A107" s="1" t="s">
        <v>1222</v>
      </c>
      <c r="B107" s="1" t="s">
        <v>707</v>
      </c>
      <c r="C107" s="1" t="s">
        <v>708</v>
      </c>
      <c r="D107" s="1" t="str">
        <f t="shared" si="2"/>
        <v xml:space="preserve">0594-22-1211  </v>
      </c>
      <c r="E107" s="1" t="s">
        <v>131</v>
      </c>
    </row>
    <row r="108" spans="1:5" x14ac:dyDescent="0.55000000000000004">
      <c r="A108" s="1" t="s">
        <v>1253</v>
      </c>
      <c r="B108" s="1" t="s">
        <v>707</v>
      </c>
      <c r="C108" s="1" t="s">
        <v>708</v>
      </c>
      <c r="D108" s="1" t="str">
        <f t="shared" si="2"/>
        <v xml:space="preserve">0594-22-1211  </v>
      </c>
      <c r="E108" s="1" t="s">
        <v>111</v>
      </c>
    </row>
    <row r="109" spans="1:5" x14ac:dyDescent="0.55000000000000004">
      <c r="A109" s="1" t="s">
        <v>1259</v>
      </c>
      <c r="B109" s="1" t="s">
        <v>707</v>
      </c>
      <c r="C109" s="1" t="s">
        <v>708</v>
      </c>
      <c r="D109" s="1" t="str">
        <f t="shared" si="2"/>
        <v xml:space="preserve">0594-22-1211  </v>
      </c>
      <c r="E109" s="1" t="s">
        <v>111</v>
      </c>
    </row>
    <row r="110" spans="1:5" x14ac:dyDescent="0.55000000000000004">
      <c r="A110" s="1" t="s">
        <v>1300</v>
      </c>
      <c r="B110" s="1" t="s">
        <v>707</v>
      </c>
      <c r="C110" s="1" t="s">
        <v>708</v>
      </c>
      <c r="D110" s="1" t="str">
        <f t="shared" si="2"/>
        <v xml:space="preserve">0594-22-1211  </v>
      </c>
      <c r="E110" s="1" t="s">
        <v>34</v>
      </c>
    </row>
    <row r="111" spans="1:5" x14ac:dyDescent="0.55000000000000004">
      <c r="A111" s="1" t="s">
        <v>1306</v>
      </c>
      <c r="B111" s="1" t="s">
        <v>707</v>
      </c>
      <c r="C111" s="1" t="s">
        <v>708</v>
      </c>
      <c r="D111" s="1" t="str">
        <f t="shared" si="2"/>
        <v xml:space="preserve">0594-22-1211  </v>
      </c>
      <c r="E111" s="1" t="s">
        <v>34</v>
      </c>
    </row>
    <row r="112" spans="1:5" x14ac:dyDescent="0.55000000000000004">
      <c r="A112" s="1" t="s">
        <v>1324</v>
      </c>
      <c r="B112" s="1" t="s">
        <v>707</v>
      </c>
      <c r="C112" s="1" t="s">
        <v>708</v>
      </c>
      <c r="D112" s="1" t="str">
        <f t="shared" si="2"/>
        <v xml:space="preserve">0594-22-1211  </v>
      </c>
      <c r="E112" s="1" t="s">
        <v>81</v>
      </c>
    </row>
    <row r="113" spans="1:5" x14ac:dyDescent="0.55000000000000004">
      <c r="A113" s="1" t="s">
        <v>1390</v>
      </c>
      <c r="B113" s="1" t="s">
        <v>707</v>
      </c>
      <c r="C113" s="1" t="s">
        <v>708</v>
      </c>
      <c r="D113" s="1" t="str">
        <f t="shared" si="2"/>
        <v xml:space="preserve">0594-22-1211  </v>
      </c>
      <c r="E113" s="1" t="s">
        <v>14</v>
      </c>
    </row>
    <row r="114" spans="1:5" x14ac:dyDescent="0.55000000000000004">
      <c r="A114" s="1" t="s">
        <v>1472</v>
      </c>
      <c r="B114" s="1" t="s">
        <v>707</v>
      </c>
      <c r="C114" s="1" t="s">
        <v>708</v>
      </c>
      <c r="D114" s="1" t="str">
        <f t="shared" si="2"/>
        <v xml:space="preserve">0594-22-1211  </v>
      </c>
      <c r="E114" s="1" t="s">
        <v>23</v>
      </c>
    </row>
    <row r="115" spans="1:5" x14ac:dyDescent="0.55000000000000004">
      <c r="A115" s="1" t="s">
        <v>1688</v>
      </c>
      <c r="B115" s="1" t="s">
        <v>707</v>
      </c>
      <c r="C115" s="1" t="s">
        <v>708</v>
      </c>
      <c r="D115" s="1" t="str">
        <f t="shared" si="2"/>
        <v xml:space="preserve">0594-22-1211  </v>
      </c>
      <c r="E115" s="1" t="s">
        <v>106</v>
      </c>
    </row>
    <row r="116" spans="1:5" x14ac:dyDescent="0.55000000000000004">
      <c r="A116" s="1" t="s">
        <v>3049</v>
      </c>
      <c r="B116" s="1" t="s">
        <v>707</v>
      </c>
      <c r="C116" s="1" t="s">
        <v>708</v>
      </c>
      <c r="D116" s="1" t="str">
        <f t="shared" si="2"/>
        <v xml:space="preserve">0594-22-1211  </v>
      </c>
      <c r="E116" s="1" t="s">
        <v>135</v>
      </c>
    </row>
    <row r="117" spans="1:5" x14ac:dyDescent="0.55000000000000004">
      <c r="A117" s="1" t="s">
        <v>2615</v>
      </c>
      <c r="B117" s="1" t="s">
        <v>707</v>
      </c>
      <c r="C117" s="1" t="s">
        <v>708</v>
      </c>
      <c r="D117" s="1" t="str">
        <f t="shared" si="2"/>
        <v xml:space="preserve">0594-22-1211  </v>
      </c>
      <c r="E117" s="1" t="s">
        <v>35</v>
      </c>
    </row>
    <row r="118" spans="1:5" x14ac:dyDescent="0.55000000000000004">
      <c r="A118" s="1" t="s">
        <v>1838</v>
      </c>
      <c r="B118" s="1" t="s">
        <v>707</v>
      </c>
      <c r="C118" s="1" t="s">
        <v>708</v>
      </c>
      <c r="D118" s="1" t="str">
        <f t="shared" si="2"/>
        <v xml:space="preserve">0594-22-1211  </v>
      </c>
      <c r="E118" s="1" t="s">
        <v>35</v>
      </c>
    </row>
    <row r="119" spans="1:5" x14ac:dyDescent="0.55000000000000004">
      <c r="A119" s="1" t="s">
        <v>2230</v>
      </c>
      <c r="B119" s="1" t="s">
        <v>707</v>
      </c>
      <c r="C119" s="1" t="s">
        <v>708</v>
      </c>
      <c r="D119" s="1" t="str">
        <f t="shared" si="2"/>
        <v xml:space="preserve">0594-22-1211  </v>
      </c>
      <c r="E119" s="1" t="s">
        <v>23</v>
      </c>
    </row>
    <row r="120" spans="1:5" x14ac:dyDescent="0.55000000000000004">
      <c r="A120" s="1" t="s">
        <v>140</v>
      </c>
      <c r="B120" s="1" t="s">
        <v>707</v>
      </c>
      <c r="C120" s="1" t="s">
        <v>708</v>
      </c>
      <c r="D120" s="1" t="str">
        <f t="shared" si="2"/>
        <v xml:space="preserve">0594-22-1211  </v>
      </c>
      <c r="E120" s="1" t="s">
        <v>81</v>
      </c>
    </row>
    <row r="121" spans="1:5" x14ac:dyDescent="0.55000000000000004">
      <c r="A121" s="1" t="s">
        <v>1850</v>
      </c>
      <c r="B121" s="1" t="s">
        <v>707</v>
      </c>
      <c r="C121" s="1" t="s">
        <v>708</v>
      </c>
      <c r="D121" s="1" t="str">
        <f t="shared" si="2"/>
        <v xml:space="preserve">0594-22-1211  </v>
      </c>
      <c r="E121" s="1" t="s">
        <v>111</v>
      </c>
    </row>
    <row r="122" spans="1:5" x14ac:dyDescent="0.55000000000000004">
      <c r="A122" s="1" t="s">
        <v>2241</v>
      </c>
      <c r="B122" s="1" t="s">
        <v>707</v>
      </c>
      <c r="C122" s="1" t="s">
        <v>708</v>
      </c>
      <c r="D122" s="1" t="str">
        <f t="shared" si="2"/>
        <v xml:space="preserve">0594-22-1211  </v>
      </c>
      <c r="E122" s="1" t="s">
        <v>22</v>
      </c>
    </row>
    <row r="123" spans="1:5" x14ac:dyDescent="0.55000000000000004">
      <c r="A123" s="1" t="s">
        <v>1977</v>
      </c>
      <c r="B123" s="1" t="s">
        <v>707</v>
      </c>
      <c r="C123" s="1" t="s">
        <v>708</v>
      </c>
      <c r="D123" s="1" t="str">
        <f t="shared" si="2"/>
        <v xml:space="preserve">0594-22-1211  </v>
      </c>
      <c r="E123" s="1" t="s">
        <v>705</v>
      </c>
    </row>
    <row r="124" spans="1:5" x14ac:dyDescent="0.55000000000000004">
      <c r="A124" s="1" t="s">
        <v>2074</v>
      </c>
      <c r="B124" s="1" t="s">
        <v>707</v>
      </c>
      <c r="C124" s="1" t="s">
        <v>708</v>
      </c>
      <c r="D124" s="1" t="str">
        <f t="shared" si="2"/>
        <v xml:space="preserve">0594-22-1211  </v>
      </c>
      <c r="E124" s="1" t="s">
        <v>106</v>
      </c>
    </row>
    <row r="125" spans="1:5" x14ac:dyDescent="0.55000000000000004">
      <c r="A125" s="1" t="s">
        <v>744</v>
      </c>
      <c r="B125" s="1" t="s">
        <v>745</v>
      </c>
      <c r="C125" s="1" t="s">
        <v>746</v>
      </c>
      <c r="D125" s="1" t="str">
        <f>"0594-23-1120  "</f>
        <v xml:space="preserve">0594-23-1120  </v>
      </c>
      <c r="E125" s="1" t="s">
        <v>34</v>
      </c>
    </row>
    <row r="126" spans="1:5" x14ac:dyDescent="0.55000000000000004">
      <c r="A126" s="1" t="s">
        <v>1302</v>
      </c>
      <c r="B126" s="1" t="s">
        <v>745</v>
      </c>
      <c r="C126" s="1" t="s">
        <v>746</v>
      </c>
      <c r="D126" s="1" t="str">
        <f>"0594-23-1120  "</f>
        <v xml:space="preserve">0594-23-1120  </v>
      </c>
      <c r="E126" s="1" t="s">
        <v>34</v>
      </c>
    </row>
    <row r="127" spans="1:5" x14ac:dyDescent="0.55000000000000004">
      <c r="A127" s="1" t="s">
        <v>1387</v>
      </c>
      <c r="B127" s="1" t="s">
        <v>745</v>
      </c>
      <c r="C127" s="1" t="s">
        <v>746</v>
      </c>
      <c r="D127" s="1" t="str">
        <f>"0594-23-1120  "</f>
        <v xml:space="preserve">0594-23-1120  </v>
      </c>
      <c r="E127" s="1" t="s">
        <v>34</v>
      </c>
    </row>
    <row r="128" spans="1:5" x14ac:dyDescent="0.55000000000000004">
      <c r="A128" s="1" t="s">
        <v>692</v>
      </c>
      <c r="B128" s="1" t="s">
        <v>693</v>
      </c>
      <c r="C128" s="1" t="str">
        <f>"桑名市明正通2-464"</f>
        <v>桑名市明正通2-464</v>
      </c>
      <c r="D128" s="1" t="str">
        <f>"0594-27-6111  "</f>
        <v xml:space="preserve">0594-27-6111  </v>
      </c>
      <c r="E128" s="1" t="s">
        <v>694</v>
      </c>
    </row>
    <row r="129" spans="1:5" x14ac:dyDescent="0.55000000000000004">
      <c r="A129" s="1" t="s">
        <v>2146</v>
      </c>
      <c r="B129" s="1" t="s">
        <v>218</v>
      </c>
      <c r="C129" s="1" t="s">
        <v>219</v>
      </c>
      <c r="D129" s="1" t="str">
        <f>"0594-27-7800  "</f>
        <v xml:space="preserve">0594-27-7800  </v>
      </c>
      <c r="E129" s="1" t="s">
        <v>35</v>
      </c>
    </row>
    <row r="130" spans="1:5" x14ac:dyDescent="0.55000000000000004">
      <c r="A130" s="1" t="s">
        <v>217</v>
      </c>
      <c r="B130" s="1" t="s">
        <v>218</v>
      </c>
      <c r="C130" s="1" t="s">
        <v>219</v>
      </c>
      <c r="D130" s="1" t="str">
        <f>"0594-27-7800  "</f>
        <v xml:space="preserve">0594-27-7800  </v>
      </c>
      <c r="E130" s="1" t="s">
        <v>220</v>
      </c>
    </row>
    <row r="131" spans="1:5" x14ac:dyDescent="0.55000000000000004">
      <c r="A131" s="1" t="s">
        <v>2517</v>
      </c>
      <c r="B131" s="1" t="s">
        <v>2518</v>
      </c>
      <c r="C131" s="1" t="s">
        <v>2519</v>
      </c>
      <c r="D131" s="1" t="str">
        <f>"0594-33-3900  "</f>
        <v xml:space="preserve">0594-33-3900  </v>
      </c>
      <c r="E131" s="1" t="s">
        <v>22</v>
      </c>
    </row>
    <row r="132" spans="1:5" x14ac:dyDescent="0.55000000000000004">
      <c r="A132" s="1" t="s">
        <v>764</v>
      </c>
      <c r="B132" s="1" t="s">
        <v>765</v>
      </c>
      <c r="C132" s="1" t="s">
        <v>766</v>
      </c>
      <c r="D132" s="1" t="str">
        <f>"0594-33-1616  "</f>
        <v xml:space="preserve">0594-33-1616  </v>
      </c>
      <c r="E132" s="1" t="s">
        <v>767</v>
      </c>
    </row>
    <row r="133" spans="1:5" x14ac:dyDescent="0.55000000000000004">
      <c r="A133" s="1" t="s">
        <v>797</v>
      </c>
      <c r="B133" s="1" t="s">
        <v>798</v>
      </c>
      <c r="C133" s="1" t="str">
        <f>"桑名市西方1583-1"</f>
        <v>桑名市西方1583-1</v>
      </c>
      <c r="D133" s="1" t="str">
        <f>"0594-23-6622  "</f>
        <v xml:space="preserve">0594-23-6622  </v>
      </c>
      <c r="E133" s="1" t="s">
        <v>6</v>
      </c>
    </row>
    <row r="134" spans="1:5" x14ac:dyDescent="0.55000000000000004">
      <c r="A134" s="1" t="s">
        <v>1157</v>
      </c>
      <c r="B134" s="1" t="s">
        <v>1158</v>
      </c>
      <c r="C134" s="1" t="str">
        <f>"いなべ市員弁町大泉新田504-1"</f>
        <v>いなべ市員弁町大泉新田504-1</v>
      </c>
      <c r="D134" s="1" t="str">
        <f>"0594-74-6668  "</f>
        <v xml:space="preserve">0594-74-6668  </v>
      </c>
      <c r="E134" s="1" t="s">
        <v>34</v>
      </c>
    </row>
    <row r="135" spans="1:5" x14ac:dyDescent="0.55000000000000004">
      <c r="A135" s="1" t="s">
        <v>962</v>
      </c>
      <c r="B135" s="1" t="s">
        <v>963</v>
      </c>
      <c r="C135" s="1" t="s">
        <v>964</v>
      </c>
      <c r="D135" s="1" t="str">
        <f>"0594-72-8880  "</f>
        <v xml:space="preserve">0594-72-8880  </v>
      </c>
      <c r="E135" s="1" t="s">
        <v>7</v>
      </c>
    </row>
    <row r="136" spans="1:5" x14ac:dyDescent="0.55000000000000004">
      <c r="A136" s="1" t="s">
        <v>2134</v>
      </c>
      <c r="B136" s="1" t="s">
        <v>98</v>
      </c>
      <c r="C136" s="1" t="s">
        <v>99</v>
      </c>
      <c r="D136" s="1" t="str">
        <f>"0594-37-6889  "</f>
        <v xml:space="preserve">0594-37-6889  </v>
      </c>
      <c r="E136" s="1" t="s">
        <v>6</v>
      </c>
    </row>
    <row r="137" spans="1:5" x14ac:dyDescent="0.55000000000000004">
      <c r="A137" s="1" t="s">
        <v>2871</v>
      </c>
      <c r="B137" s="1" t="s">
        <v>98</v>
      </c>
      <c r="C137" s="1" t="s">
        <v>99</v>
      </c>
      <c r="D137" s="1" t="str">
        <f>"0594-37-6889  "</f>
        <v xml:space="preserve">0594-37-6889  </v>
      </c>
      <c r="E137" s="1" t="s">
        <v>6</v>
      </c>
    </row>
    <row r="138" spans="1:5" x14ac:dyDescent="0.55000000000000004">
      <c r="A138" s="1" t="s">
        <v>260</v>
      </c>
      <c r="B138" s="1" t="s">
        <v>261</v>
      </c>
      <c r="C138" s="1" t="s">
        <v>262</v>
      </c>
      <c r="D138" s="1" t="str">
        <f>"0594-84-1700  "</f>
        <v xml:space="preserve">0594-84-1700  </v>
      </c>
      <c r="E138" s="1" t="s">
        <v>14</v>
      </c>
    </row>
    <row r="139" spans="1:5" x14ac:dyDescent="0.55000000000000004">
      <c r="A139" s="1" t="s">
        <v>453</v>
      </c>
      <c r="B139" s="1" t="s">
        <v>454</v>
      </c>
      <c r="C139" s="1" t="str">
        <f>"いなべ市北勢町中山9-1"</f>
        <v>いなべ市北勢町中山9-1</v>
      </c>
      <c r="D139" s="1" t="str">
        <f>"0594-72-3163  "</f>
        <v xml:space="preserve">0594-72-3163  </v>
      </c>
      <c r="E139" s="1" t="s">
        <v>455</v>
      </c>
    </row>
    <row r="140" spans="1:5" x14ac:dyDescent="0.55000000000000004">
      <c r="A140" s="1" t="s">
        <v>1510</v>
      </c>
      <c r="B140" s="1" t="s">
        <v>110</v>
      </c>
      <c r="C140" s="1" t="s">
        <v>754</v>
      </c>
      <c r="D140" s="1" t="str">
        <f t="shared" ref="D140:D153" si="3">"0594-72-2000  "</f>
        <v xml:space="preserve">0594-72-2000  </v>
      </c>
      <c r="E140" s="1" t="s">
        <v>131</v>
      </c>
    </row>
    <row r="141" spans="1:5" x14ac:dyDescent="0.55000000000000004">
      <c r="A141" s="1" t="s">
        <v>2413</v>
      </c>
      <c r="B141" s="1" t="s">
        <v>110</v>
      </c>
      <c r="C141" s="1" t="s">
        <v>754</v>
      </c>
      <c r="D141" s="1" t="str">
        <f t="shared" si="3"/>
        <v xml:space="preserve">0594-72-2000  </v>
      </c>
      <c r="E141" s="1" t="s">
        <v>106</v>
      </c>
    </row>
    <row r="142" spans="1:5" x14ac:dyDescent="0.55000000000000004">
      <c r="A142" s="1" t="s">
        <v>2102</v>
      </c>
      <c r="B142" s="1" t="s">
        <v>110</v>
      </c>
      <c r="C142" s="1" t="s">
        <v>754</v>
      </c>
      <c r="D142" s="1" t="str">
        <f t="shared" si="3"/>
        <v xml:space="preserve">0594-72-2000  </v>
      </c>
      <c r="E142" s="1" t="s">
        <v>34</v>
      </c>
    </row>
    <row r="143" spans="1:5" x14ac:dyDescent="0.55000000000000004">
      <c r="A143" s="1" t="s">
        <v>2455</v>
      </c>
      <c r="B143" s="1" t="s">
        <v>110</v>
      </c>
      <c r="C143" s="1" t="s">
        <v>754</v>
      </c>
      <c r="D143" s="1" t="str">
        <f t="shared" si="3"/>
        <v xml:space="preserve">0594-72-2000  </v>
      </c>
      <c r="E143" s="1" t="s">
        <v>135</v>
      </c>
    </row>
    <row r="144" spans="1:5" x14ac:dyDescent="0.55000000000000004">
      <c r="A144" s="1" t="s">
        <v>2456</v>
      </c>
      <c r="B144" s="1" t="s">
        <v>110</v>
      </c>
      <c r="C144" s="1" t="s">
        <v>754</v>
      </c>
      <c r="D144" s="1" t="str">
        <f t="shared" si="3"/>
        <v xml:space="preserve">0594-72-2000  </v>
      </c>
      <c r="E144" s="1" t="s">
        <v>14</v>
      </c>
    </row>
    <row r="145" spans="1:5" x14ac:dyDescent="0.55000000000000004">
      <c r="A145" s="1" t="s">
        <v>1862</v>
      </c>
      <c r="B145" s="1" t="s">
        <v>110</v>
      </c>
      <c r="C145" s="1" t="s">
        <v>754</v>
      </c>
      <c r="D145" s="1" t="str">
        <f t="shared" si="3"/>
        <v xml:space="preserve">0594-72-2000  </v>
      </c>
      <c r="E145" s="1" t="s">
        <v>6</v>
      </c>
    </row>
    <row r="146" spans="1:5" x14ac:dyDescent="0.55000000000000004">
      <c r="A146" s="1" t="s">
        <v>753</v>
      </c>
      <c r="B146" s="1" t="s">
        <v>110</v>
      </c>
      <c r="C146" s="1" t="s">
        <v>754</v>
      </c>
      <c r="D146" s="1" t="str">
        <f t="shared" si="3"/>
        <v xml:space="preserve">0594-72-2000  </v>
      </c>
      <c r="E146" s="1" t="s">
        <v>6</v>
      </c>
    </row>
    <row r="147" spans="1:5" x14ac:dyDescent="0.55000000000000004">
      <c r="A147" s="1" t="s">
        <v>757</v>
      </c>
      <c r="B147" s="1" t="s">
        <v>110</v>
      </c>
      <c r="C147" s="1" t="s">
        <v>754</v>
      </c>
      <c r="D147" s="1" t="str">
        <f t="shared" si="3"/>
        <v xml:space="preserve">0594-72-2000  </v>
      </c>
      <c r="E147" s="1" t="s">
        <v>6</v>
      </c>
    </row>
    <row r="148" spans="1:5" x14ac:dyDescent="0.55000000000000004">
      <c r="A148" s="1" t="s">
        <v>758</v>
      </c>
      <c r="B148" s="1" t="s">
        <v>110</v>
      </c>
      <c r="C148" s="1" t="s">
        <v>754</v>
      </c>
      <c r="D148" s="1" t="str">
        <f t="shared" si="3"/>
        <v xml:space="preserve">0594-72-2000  </v>
      </c>
      <c r="E148" s="1" t="s">
        <v>14</v>
      </c>
    </row>
    <row r="149" spans="1:5" x14ac:dyDescent="0.55000000000000004">
      <c r="A149" s="1" t="s">
        <v>1563</v>
      </c>
      <c r="B149" s="1" t="s">
        <v>110</v>
      </c>
      <c r="C149" s="1" t="s">
        <v>754</v>
      </c>
      <c r="D149" s="1" t="str">
        <f t="shared" si="3"/>
        <v xml:space="preserve">0594-72-2000  </v>
      </c>
      <c r="E149" s="1" t="s">
        <v>135</v>
      </c>
    </row>
    <row r="150" spans="1:5" x14ac:dyDescent="0.55000000000000004">
      <c r="A150" s="1" t="s">
        <v>1593</v>
      </c>
      <c r="B150" s="1" t="s">
        <v>110</v>
      </c>
      <c r="C150" s="1" t="s">
        <v>754</v>
      </c>
      <c r="D150" s="1" t="str">
        <f t="shared" si="3"/>
        <v xml:space="preserve">0594-72-2000  </v>
      </c>
      <c r="E150" s="1" t="s">
        <v>107</v>
      </c>
    </row>
    <row r="151" spans="1:5" x14ac:dyDescent="0.55000000000000004">
      <c r="A151" s="1" t="s">
        <v>1837</v>
      </c>
      <c r="B151" s="1" t="s">
        <v>110</v>
      </c>
      <c r="C151" s="1" t="s">
        <v>754</v>
      </c>
      <c r="D151" s="1" t="str">
        <f t="shared" si="3"/>
        <v xml:space="preserve">0594-72-2000  </v>
      </c>
      <c r="E151" s="1" t="s">
        <v>6</v>
      </c>
    </row>
    <row r="152" spans="1:5" x14ac:dyDescent="0.55000000000000004">
      <c r="A152" s="1" t="s">
        <v>2688</v>
      </c>
      <c r="B152" s="1" t="s">
        <v>110</v>
      </c>
      <c r="C152" s="1" t="s">
        <v>754</v>
      </c>
      <c r="D152" s="1" t="str">
        <f t="shared" si="3"/>
        <v xml:space="preserve">0594-72-2000  </v>
      </c>
      <c r="E152" s="1" t="s">
        <v>22</v>
      </c>
    </row>
    <row r="153" spans="1:5" x14ac:dyDescent="0.55000000000000004">
      <c r="A153" s="1" t="s">
        <v>2257</v>
      </c>
      <c r="B153" s="1" t="s">
        <v>110</v>
      </c>
      <c r="C153" s="1" t="s">
        <v>754</v>
      </c>
      <c r="D153" s="1" t="str">
        <f t="shared" si="3"/>
        <v xml:space="preserve">0594-72-2000  </v>
      </c>
      <c r="E153" s="1" t="s">
        <v>14</v>
      </c>
    </row>
    <row r="154" spans="1:5" x14ac:dyDescent="0.55000000000000004">
      <c r="A154" s="1" t="s">
        <v>622</v>
      </c>
      <c r="B154" s="1" t="s">
        <v>623</v>
      </c>
      <c r="C154" s="1" t="str">
        <f>"いなべ市員弁町大泉新田55-1"</f>
        <v>いなべ市員弁町大泉新田55-1</v>
      </c>
      <c r="D154" s="1" t="str">
        <f>"0594-84-2233  "</f>
        <v xml:space="preserve">0594-84-2233  </v>
      </c>
      <c r="E154" s="1" t="s">
        <v>624</v>
      </c>
    </row>
    <row r="155" spans="1:5" x14ac:dyDescent="0.55000000000000004">
      <c r="A155" s="1" t="s">
        <v>906</v>
      </c>
      <c r="B155" s="1" t="s">
        <v>907</v>
      </c>
      <c r="C155" s="1" t="str">
        <f>"いなべ市北勢町麻生田3597-1"</f>
        <v>いなべ市北勢町麻生田3597-1</v>
      </c>
      <c r="D155" s="1" t="str">
        <f>"0594-82-1002  "</f>
        <v xml:space="preserve">0594-82-1002  </v>
      </c>
      <c r="E155" s="1" t="s">
        <v>34</v>
      </c>
    </row>
    <row r="156" spans="1:5" x14ac:dyDescent="0.55000000000000004">
      <c r="A156" s="1" t="s">
        <v>74</v>
      </c>
      <c r="B156" s="1" t="s">
        <v>2873</v>
      </c>
      <c r="C156" s="1" t="s">
        <v>2874</v>
      </c>
      <c r="D156" s="1" t="str">
        <f>"0594-77-0311  "</f>
        <v xml:space="preserve">0594-77-0311  </v>
      </c>
      <c r="E156" s="1" t="s">
        <v>6</v>
      </c>
    </row>
    <row r="157" spans="1:5" x14ac:dyDescent="0.55000000000000004">
      <c r="A157" s="1" t="s">
        <v>1940</v>
      </c>
      <c r="B157" s="1" t="s">
        <v>679</v>
      </c>
      <c r="C157" s="1" t="s">
        <v>680</v>
      </c>
      <c r="D157" s="1" t="str">
        <f t="shared" ref="D157:D166" si="4">"0594-72-2511  "</f>
        <v xml:space="preserve">0594-72-2511  </v>
      </c>
      <c r="E157" s="1" t="s">
        <v>327</v>
      </c>
    </row>
    <row r="158" spans="1:5" x14ac:dyDescent="0.55000000000000004">
      <c r="A158" s="1" t="s">
        <v>678</v>
      </c>
      <c r="B158" s="1" t="s">
        <v>679</v>
      </c>
      <c r="C158" s="1" t="s">
        <v>680</v>
      </c>
      <c r="D158" s="1" t="str">
        <f t="shared" si="4"/>
        <v xml:space="preserve">0594-72-2511  </v>
      </c>
      <c r="E158" s="1" t="s">
        <v>6</v>
      </c>
    </row>
    <row r="159" spans="1:5" x14ac:dyDescent="0.55000000000000004">
      <c r="A159" s="1" t="s">
        <v>681</v>
      </c>
      <c r="B159" s="1" t="s">
        <v>679</v>
      </c>
      <c r="C159" s="1" t="s">
        <v>680</v>
      </c>
      <c r="D159" s="1" t="str">
        <f t="shared" si="4"/>
        <v xml:space="preserve">0594-72-2511  </v>
      </c>
      <c r="E159" s="1" t="s">
        <v>14</v>
      </c>
    </row>
    <row r="160" spans="1:5" x14ac:dyDescent="0.55000000000000004">
      <c r="A160" s="1" t="s">
        <v>936</v>
      </c>
      <c r="B160" s="1" t="s">
        <v>679</v>
      </c>
      <c r="C160" s="1" t="s">
        <v>680</v>
      </c>
      <c r="D160" s="1" t="str">
        <f t="shared" si="4"/>
        <v xml:space="preserve">0594-72-2511  </v>
      </c>
      <c r="E160" s="1" t="s">
        <v>81</v>
      </c>
    </row>
    <row r="161" spans="1:5" x14ac:dyDescent="0.55000000000000004">
      <c r="A161" s="1" t="s">
        <v>2018</v>
      </c>
      <c r="B161" s="1" t="s">
        <v>679</v>
      </c>
      <c r="C161" s="1" t="s">
        <v>680</v>
      </c>
      <c r="D161" s="1" t="str">
        <f t="shared" si="4"/>
        <v xml:space="preserve">0594-72-2511  </v>
      </c>
      <c r="E161" s="1" t="s">
        <v>14</v>
      </c>
    </row>
    <row r="162" spans="1:5" x14ac:dyDescent="0.55000000000000004">
      <c r="A162" s="1" t="s">
        <v>2837</v>
      </c>
      <c r="B162" s="1" t="s">
        <v>679</v>
      </c>
      <c r="C162" s="1" t="s">
        <v>680</v>
      </c>
      <c r="D162" s="1" t="str">
        <f t="shared" si="4"/>
        <v xml:space="preserve">0594-72-2511  </v>
      </c>
      <c r="E162" s="1" t="s">
        <v>6</v>
      </c>
    </row>
    <row r="163" spans="1:5" x14ac:dyDescent="0.55000000000000004">
      <c r="A163" s="1" t="s">
        <v>2953</v>
      </c>
      <c r="B163" s="1" t="s">
        <v>679</v>
      </c>
      <c r="C163" s="1" t="s">
        <v>680</v>
      </c>
      <c r="D163" s="1" t="str">
        <f t="shared" si="4"/>
        <v xml:space="preserve">0594-72-2511  </v>
      </c>
      <c r="E163" s="1" t="s">
        <v>23</v>
      </c>
    </row>
    <row r="164" spans="1:5" x14ac:dyDescent="0.55000000000000004">
      <c r="A164" s="1" t="s">
        <v>1270</v>
      </c>
      <c r="B164" s="1" t="s">
        <v>679</v>
      </c>
      <c r="C164" s="1" t="s">
        <v>680</v>
      </c>
      <c r="D164" s="1" t="str">
        <f t="shared" si="4"/>
        <v xml:space="preserve">0594-72-2511  </v>
      </c>
      <c r="E164" s="1" t="s">
        <v>981</v>
      </c>
    </row>
    <row r="165" spans="1:5" x14ac:dyDescent="0.55000000000000004">
      <c r="A165" s="1" t="s">
        <v>1391</v>
      </c>
      <c r="B165" s="1" t="s">
        <v>679</v>
      </c>
      <c r="C165" s="1" t="s">
        <v>680</v>
      </c>
      <c r="D165" s="1" t="str">
        <f t="shared" si="4"/>
        <v xml:space="preserve">0594-72-2511  </v>
      </c>
      <c r="E165" s="1" t="s">
        <v>14</v>
      </c>
    </row>
    <row r="166" spans="1:5" x14ac:dyDescent="0.55000000000000004">
      <c r="A166" s="1" t="s">
        <v>2728</v>
      </c>
      <c r="B166" s="1" t="s">
        <v>679</v>
      </c>
      <c r="C166" s="1" t="s">
        <v>680</v>
      </c>
      <c r="D166" s="1" t="str">
        <f t="shared" si="4"/>
        <v xml:space="preserve">0594-72-2511  </v>
      </c>
      <c r="E166" s="1" t="s">
        <v>10</v>
      </c>
    </row>
    <row r="167" spans="1:5" x14ac:dyDescent="0.55000000000000004">
      <c r="A167" s="1" t="s">
        <v>1016</v>
      </c>
      <c r="B167" s="1" t="s">
        <v>1017</v>
      </c>
      <c r="C167" s="1" t="s">
        <v>1018</v>
      </c>
      <c r="D167" s="1" t="str">
        <f>"0567-68-7230  "</f>
        <v xml:space="preserve">0567-68-7230  </v>
      </c>
      <c r="E167" s="1" t="s">
        <v>854</v>
      </c>
    </row>
    <row r="168" spans="1:5" x14ac:dyDescent="0.55000000000000004">
      <c r="A168" s="1" t="s">
        <v>546</v>
      </c>
      <c r="B168" s="1" t="s">
        <v>547</v>
      </c>
      <c r="C168" s="1" t="str">
        <f>"員弁郡東員町八幡新田139-1"</f>
        <v>員弁郡東員町八幡新田139-1</v>
      </c>
      <c r="D168" s="1" t="str">
        <f>"0594-86-1525  "</f>
        <v xml:space="preserve">0594-86-1525  </v>
      </c>
      <c r="E168" s="1" t="s">
        <v>548</v>
      </c>
    </row>
    <row r="169" spans="1:5" x14ac:dyDescent="0.55000000000000004">
      <c r="A169" s="1" t="s">
        <v>759</v>
      </c>
      <c r="B169" s="1" t="s">
        <v>760</v>
      </c>
      <c r="C169" s="1" t="str">
        <f>"員弁郡東員町長深883-1"</f>
        <v>員弁郡東員町長深883-1</v>
      </c>
      <c r="D169" s="1" t="str">
        <f>"0594-82-7230  "</f>
        <v xml:space="preserve">0594-82-7230  </v>
      </c>
      <c r="E169" s="1" t="s">
        <v>299</v>
      </c>
    </row>
    <row r="170" spans="1:5" x14ac:dyDescent="0.55000000000000004">
      <c r="A170" s="1" t="s">
        <v>184</v>
      </c>
      <c r="B170" s="1" t="s">
        <v>185</v>
      </c>
      <c r="C170" s="1" t="s">
        <v>186</v>
      </c>
      <c r="D170" s="1" t="str">
        <f>"0594-82-7001  "</f>
        <v xml:space="preserve">0594-82-7001  </v>
      </c>
      <c r="E170" s="1" t="s">
        <v>7</v>
      </c>
    </row>
    <row r="171" spans="1:5" x14ac:dyDescent="0.55000000000000004">
      <c r="A171" s="1" t="s">
        <v>761</v>
      </c>
      <c r="B171" s="1" t="s">
        <v>762</v>
      </c>
      <c r="C171" s="1" t="s">
        <v>763</v>
      </c>
      <c r="D171" s="1" t="str">
        <f>"0594-41-3333  "</f>
        <v xml:space="preserve">0594-41-3333  </v>
      </c>
      <c r="E171" s="1" t="s">
        <v>10</v>
      </c>
    </row>
    <row r="172" spans="1:5" x14ac:dyDescent="0.55000000000000004">
      <c r="A172" s="1" t="s">
        <v>2186</v>
      </c>
      <c r="B172" s="1" t="s">
        <v>762</v>
      </c>
      <c r="C172" s="1" t="s">
        <v>763</v>
      </c>
      <c r="D172" s="1" t="str">
        <f>"0594-41-3333  "</f>
        <v xml:space="preserve">0594-41-3333  </v>
      </c>
      <c r="E172" s="1" t="s">
        <v>22</v>
      </c>
    </row>
    <row r="173" spans="1:5" x14ac:dyDescent="0.55000000000000004">
      <c r="A173" s="1" t="s">
        <v>2910</v>
      </c>
      <c r="B173" s="1" t="s">
        <v>2911</v>
      </c>
      <c r="C173" s="1" t="s">
        <v>3081</v>
      </c>
      <c r="D173" s="1" t="str">
        <f>"0594-86-2112  "</f>
        <v xml:space="preserve">0594-86-2112  </v>
      </c>
      <c r="E173" s="1" t="s">
        <v>34</v>
      </c>
    </row>
    <row r="174" spans="1:5" x14ac:dyDescent="0.55000000000000004">
      <c r="A174" s="1" t="s">
        <v>1972</v>
      </c>
      <c r="B174" s="1" t="s">
        <v>1973</v>
      </c>
      <c r="C174" s="1" t="s">
        <v>1974</v>
      </c>
      <c r="D174" s="1" t="str">
        <f>"0594-82-6363  "</f>
        <v xml:space="preserve">0594-82-6363  </v>
      </c>
      <c r="E174" s="1" t="s">
        <v>6</v>
      </c>
    </row>
    <row r="175" spans="1:5" x14ac:dyDescent="0.55000000000000004">
      <c r="A175" s="1" t="s">
        <v>1392</v>
      </c>
      <c r="B175" s="1" t="s">
        <v>1393</v>
      </c>
      <c r="C175" s="1" t="s">
        <v>1394</v>
      </c>
      <c r="D175" s="1" t="str">
        <f>"0594-76-5005  "</f>
        <v xml:space="preserve">0594-76-5005  </v>
      </c>
      <c r="E175" s="1" t="s">
        <v>375</v>
      </c>
    </row>
    <row r="176" spans="1:5" x14ac:dyDescent="0.55000000000000004">
      <c r="A176" s="1" t="s">
        <v>2103</v>
      </c>
      <c r="B176" s="1" t="s">
        <v>1724</v>
      </c>
      <c r="C176" s="1" t="str">
        <f>"員弁郡東員町穴太1987-1"</f>
        <v>員弁郡東員町穴太1987-1</v>
      </c>
      <c r="D176" s="1" t="str">
        <f>"0594-76-9933  "</f>
        <v xml:space="preserve">0594-76-9933  </v>
      </c>
      <c r="E176" s="1" t="s">
        <v>528</v>
      </c>
    </row>
    <row r="177" spans="1:5" x14ac:dyDescent="0.55000000000000004">
      <c r="A177" s="1" t="s">
        <v>1170</v>
      </c>
      <c r="B177" s="1" t="s">
        <v>1171</v>
      </c>
      <c r="C177" s="1" t="s">
        <v>1172</v>
      </c>
      <c r="D177" s="1" t="str">
        <f>"0594-76-2345  "</f>
        <v xml:space="preserve">0594-76-2345  </v>
      </c>
      <c r="E177" s="1" t="s">
        <v>6</v>
      </c>
    </row>
    <row r="178" spans="1:5" x14ac:dyDescent="0.55000000000000004">
      <c r="A178" s="1" t="s">
        <v>1418</v>
      </c>
      <c r="B178" s="1" t="s">
        <v>1171</v>
      </c>
      <c r="C178" s="1" t="s">
        <v>1172</v>
      </c>
      <c r="D178" s="1" t="str">
        <f>"0594-76-2345  "</f>
        <v xml:space="preserve">0594-76-2345  </v>
      </c>
      <c r="E178" s="1" t="s">
        <v>1419</v>
      </c>
    </row>
    <row r="179" spans="1:5" x14ac:dyDescent="0.55000000000000004">
      <c r="A179" s="1" t="s">
        <v>1148</v>
      </c>
      <c r="B179" s="1" t="s">
        <v>1149</v>
      </c>
      <c r="C179" s="1" t="s">
        <v>2160</v>
      </c>
      <c r="D179" s="1" t="str">
        <f>"0594-76-5511  "</f>
        <v xml:space="preserve">0594-76-5511  </v>
      </c>
      <c r="E179" s="1" t="s">
        <v>65</v>
      </c>
    </row>
    <row r="180" spans="1:5" x14ac:dyDescent="0.55000000000000004">
      <c r="A180" s="1" t="s">
        <v>1917</v>
      </c>
      <c r="B180" s="1" t="s">
        <v>1918</v>
      </c>
      <c r="C180" s="1" t="str">
        <f>"三重郡菰野町菰野987-1"</f>
        <v>三重郡菰野町菰野987-1</v>
      </c>
      <c r="D180" s="1" t="str">
        <f>"059-336-5200  "</f>
        <v xml:space="preserve">059-336-5200  </v>
      </c>
      <c r="E180" s="1" t="s">
        <v>7</v>
      </c>
    </row>
    <row r="181" spans="1:5" x14ac:dyDescent="0.55000000000000004">
      <c r="A181" s="1" t="s">
        <v>1650</v>
      </c>
      <c r="B181" s="1" t="s">
        <v>1651</v>
      </c>
      <c r="C181" s="1" t="str">
        <f>"三重郡菰野町竹成2657-5"</f>
        <v>三重郡菰野町竹成2657-5</v>
      </c>
      <c r="D181" s="1" t="str">
        <f>"059-399-2225  "</f>
        <v xml:space="preserve">059-399-2225  </v>
      </c>
      <c r="E181" s="1" t="s">
        <v>1652</v>
      </c>
    </row>
    <row r="182" spans="1:5" x14ac:dyDescent="0.55000000000000004">
      <c r="A182" s="1" t="s">
        <v>1903</v>
      </c>
      <c r="B182" s="1" t="s">
        <v>1904</v>
      </c>
      <c r="C182" s="1" t="s">
        <v>1905</v>
      </c>
      <c r="D182" s="1" t="str">
        <f>"059-327-5400  "</f>
        <v xml:space="preserve">059-327-5400  </v>
      </c>
      <c r="E182" s="1" t="s">
        <v>952</v>
      </c>
    </row>
    <row r="183" spans="1:5" x14ac:dyDescent="0.55000000000000004">
      <c r="A183" s="1" t="s">
        <v>1564</v>
      </c>
      <c r="B183" s="1" t="s">
        <v>1565</v>
      </c>
      <c r="C183" s="1" t="s">
        <v>1566</v>
      </c>
      <c r="D183" s="1" t="str">
        <f>"059-373-6667  "</f>
        <v xml:space="preserve">059-373-6667  </v>
      </c>
      <c r="E183" s="1" t="s">
        <v>14</v>
      </c>
    </row>
    <row r="184" spans="1:5" x14ac:dyDescent="0.55000000000000004">
      <c r="A184" s="1" t="s">
        <v>373</v>
      </c>
      <c r="B184" s="1" t="s">
        <v>374</v>
      </c>
      <c r="C184" s="1" t="str">
        <f>"三重郡菰野町潤田2150-3"</f>
        <v>三重郡菰野町潤田2150-3</v>
      </c>
      <c r="D184" s="1" t="str">
        <f>"059-394-5577  "</f>
        <v xml:space="preserve">059-394-5577  </v>
      </c>
      <c r="E184" s="1" t="s">
        <v>375</v>
      </c>
    </row>
    <row r="185" spans="1:5" x14ac:dyDescent="0.55000000000000004">
      <c r="A185" s="1" t="s">
        <v>2542</v>
      </c>
      <c r="B185" s="1" t="s">
        <v>2543</v>
      </c>
      <c r="C185" s="1" t="str">
        <f>"三重郡菰野町潤田字大工垣内835-1"</f>
        <v>三重郡菰野町潤田字大工垣内835-1</v>
      </c>
      <c r="D185" s="1" t="str">
        <f>"059-340-5535  "</f>
        <v xml:space="preserve">059-340-5535  </v>
      </c>
      <c r="E185" s="1" t="s">
        <v>34</v>
      </c>
    </row>
    <row r="186" spans="1:5" x14ac:dyDescent="0.55000000000000004">
      <c r="A186" s="1" t="s">
        <v>481</v>
      </c>
      <c r="B186" s="1" t="s">
        <v>482</v>
      </c>
      <c r="C186" s="1" t="s">
        <v>483</v>
      </c>
      <c r="D186" s="1" t="str">
        <f t="shared" ref="D186:D198" si="5">"059-393-1212  "</f>
        <v xml:space="preserve">059-393-1212  </v>
      </c>
      <c r="E186" s="1" t="s">
        <v>111</v>
      </c>
    </row>
    <row r="187" spans="1:5" x14ac:dyDescent="0.55000000000000004">
      <c r="A187" s="1" t="s">
        <v>863</v>
      </c>
      <c r="B187" s="1" t="s">
        <v>482</v>
      </c>
      <c r="C187" s="1" t="s">
        <v>483</v>
      </c>
      <c r="D187" s="1" t="str">
        <f t="shared" si="5"/>
        <v xml:space="preserve">059-393-1212  </v>
      </c>
      <c r="E187" s="1" t="s">
        <v>14</v>
      </c>
    </row>
    <row r="188" spans="1:5" x14ac:dyDescent="0.55000000000000004">
      <c r="A188" s="1" t="s">
        <v>1039</v>
      </c>
      <c r="B188" s="1" t="s">
        <v>482</v>
      </c>
      <c r="C188" s="1" t="s">
        <v>483</v>
      </c>
      <c r="D188" s="1" t="str">
        <f t="shared" si="5"/>
        <v xml:space="preserve">059-393-1212  </v>
      </c>
      <c r="E188" s="1" t="s">
        <v>327</v>
      </c>
    </row>
    <row r="189" spans="1:5" x14ac:dyDescent="0.55000000000000004">
      <c r="A189" s="1" t="s">
        <v>1431</v>
      </c>
      <c r="B189" s="1" t="s">
        <v>482</v>
      </c>
      <c r="C189" s="1" t="s">
        <v>483</v>
      </c>
      <c r="D189" s="1" t="str">
        <f t="shared" si="5"/>
        <v xml:space="preserve">059-393-1212  </v>
      </c>
      <c r="E189" s="1" t="s">
        <v>6</v>
      </c>
    </row>
    <row r="190" spans="1:5" x14ac:dyDescent="0.55000000000000004">
      <c r="A190" s="1" t="s">
        <v>1432</v>
      </c>
      <c r="B190" s="1" t="s">
        <v>482</v>
      </c>
      <c r="C190" s="1" t="s">
        <v>483</v>
      </c>
      <c r="D190" s="1" t="str">
        <f t="shared" si="5"/>
        <v xml:space="preserve">059-393-1212  </v>
      </c>
      <c r="E190" s="1" t="s">
        <v>111</v>
      </c>
    </row>
    <row r="191" spans="1:5" x14ac:dyDescent="0.55000000000000004">
      <c r="A191" s="1" t="s">
        <v>1433</v>
      </c>
      <c r="B191" s="1" t="s">
        <v>482</v>
      </c>
      <c r="C191" s="1" t="s">
        <v>483</v>
      </c>
      <c r="D191" s="1" t="str">
        <f t="shared" si="5"/>
        <v xml:space="preserve">059-393-1212  </v>
      </c>
      <c r="E191" s="1" t="s">
        <v>23</v>
      </c>
    </row>
    <row r="192" spans="1:5" x14ac:dyDescent="0.55000000000000004">
      <c r="A192" s="1" t="s">
        <v>1561</v>
      </c>
      <c r="B192" s="1" t="s">
        <v>482</v>
      </c>
      <c r="C192" s="1" t="s">
        <v>483</v>
      </c>
      <c r="D192" s="1" t="str">
        <f t="shared" si="5"/>
        <v xml:space="preserve">059-393-1212  </v>
      </c>
      <c r="E192" s="1" t="s">
        <v>23</v>
      </c>
    </row>
    <row r="193" spans="1:5" x14ac:dyDescent="0.55000000000000004">
      <c r="A193" s="1" t="s">
        <v>1567</v>
      </c>
      <c r="B193" s="1" t="s">
        <v>482</v>
      </c>
      <c r="C193" s="1" t="s">
        <v>483</v>
      </c>
      <c r="D193" s="1" t="str">
        <f t="shared" si="5"/>
        <v xml:space="preserve">059-393-1212  </v>
      </c>
      <c r="E193" s="1" t="s">
        <v>23</v>
      </c>
    </row>
    <row r="194" spans="1:5" x14ac:dyDescent="0.55000000000000004">
      <c r="A194" s="1" t="s">
        <v>1607</v>
      </c>
      <c r="B194" s="1" t="s">
        <v>482</v>
      </c>
      <c r="C194" s="1" t="s">
        <v>483</v>
      </c>
      <c r="D194" s="1" t="str">
        <f t="shared" si="5"/>
        <v xml:space="preserve">059-393-1212  </v>
      </c>
      <c r="E194" s="1" t="s">
        <v>131</v>
      </c>
    </row>
    <row r="195" spans="1:5" x14ac:dyDescent="0.55000000000000004">
      <c r="A195" s="1" t="s">
        <v>2703</v>
      </c>
      <c r="B195" s="1" t="s">
        <v>482</v>
      </c>
      <c r="C195" s="1" t="s">
        <v>483</v>
      </c>
      <c r="D195" s="1" t="str">
        <f t="shared" si="5"/>
        <v xml:space="preserve">059-393-1212  </v>
      </c>
      <c r="E195" s="1" t="s">
        <v>6</v>
      </c>
    </row>
    <row r="196" spans="1:5" x14ac:dyDescent="0.55000000000000004">
      <c r="A196" s="1" t="s">
        <v>2710</v>
      </c>
      <c r="B196" s="1" t="s">
        <v>482</v>
      </c>
      <c r="C196" s="1" t="s">
        <v>483</v>
      </c>
      <c r="D196" s="1" t="str">
        <f t="shared" si="5"/>
        <v xml:space="preserve">059-393-1212  </v>
      </c>
      <c r="E196" s="1" t="s">
        <v>2407</v>
      </c>
    </row>
    <row r="197" spans="1:5" x14ac:dyDescent="0.55000000000000004">
      <c r="A197" s="1" t="s">
        <v>1891</v>
      </c>
      <c r="B197" s="1" t="s">
        <v>482</v>
      </c>
      <c r="C197" s="1" t="s">
        <v>483</v>
      </c>
      <c r="D197" s="1" t="str">
        <f t="shared" si="5"/>
        <v xml:space="preserve">059-393-1212  </v>
      </c>
      <c r="E197" s="1" t="s">
        <v>34</v>
      </c>
    </row>
    <row r="198" spans="1:5" x14ac:dyDescent="0.55000000000000004">
      <c r="A198" s="1" t="s">
        <v>2698</v>
      </c>
      <c r="B198" s="1" t="s">
        <v>482</v>
      </c>
      <c r="C198" s="1" t="s">
        <v>2699</v>
      </c>
      <c r="D198" s="1" t="str">
        <f t="shared" si="5"/>
        <v xml:space="preserve">059-393-1212  </v>
      </c>
      <c r="E198" s="1" t="s">
        <v>34</v>
      </c>
    </row>
    <row r="199" spans="1:5" x14ac:dyDescent="0.55000000000000004">
      <c r="A199" s="1" t="s">
        <v>2398</v>
      </c>
      <c r="B199" s="1" t="s">
        <v>2399</v>
      </c>
      <c r="C199" s="1" t="s">
        <v>2719</v>
      </c>
      <c r="D199" s="1" t="str">
        <f>"059-325-6537  "</f>
        <v xml:space="preserve">059-325-6537  </v>
      </c>
      <c r="E199" s="1" t="s">
        <v>2400</v>
      </c>
    </row>
    <row r="200" spans="1:5" x14ac:dyDescent="0.55000000000000004">
      <c r="A200" s="1" t="s">
        <v>2718</v>
      </c>
      <c r="B200" s="1" t="s">
        <v>2399</v>
      </c>
      <c r="C200" s="1" t="s">
        <v>2719</v>
      </c>
      <c r="D200" s="1" t="str">
        <f>"059-325-6537  "</f>
        <v xml:space="preserve">059-325-6537  </v>
      </c>
      <c r="E200" s="1" t="s">
        <v>2720</v>
      </c>
    </row>
    <row r="201" spans="1:5" x14ac:dyDescent="0.55000000000000004">
      <c r="A201" s="1" t="s">
        <v>2636</v>
      </c>
      <c r="B201" s="1" t="s">
        <v>1990</v>
      </c>
      <c r="C201" s="1" t="s">
        <v>2637</v>
      </c>
      <c r="D201" s="1" t="str">
        <f>"059-340-5100  "</f>
        <v xml:space="preserve">059-340-5100  </v>
      </c>
      <c r="E201" s="1" t="s">
        <v>1873</v>
      </c>
    </row>
    <row r="202" spans="1:5" x14ac:dyDescent="0.55000000000000004">
      <c r="A202" s="1" t="s">
        <v>469</v>
      </c>
      <c r="B202" s="1" t="s">
        <v>470</v>
      </c>
      <c r="C202" s="1" t="s">
        <v>471</v>
      </c>
      <c r="D202" s="1" t="str">
        <f>"059-376-6667  "</f>
        <v xml:space="preserve">059-376-6667  </v>
      </c>
      <c r="E202" s="1" t="s">
        <v>375</v>
      </c>
    </row>
    <row r="203" spans="1:5" x14ac:dyDescent="0.55000000000000004">
      <c r="A203" s="1" t="s">
        <v>1621</v>
      </c>
      <c r="B203" s="1" t="s">
        <v>1622</v>
      </c>
      <c r="C203" s="1" t="str">
        <f>"三重郡川越町豊田一色272-1"</f>
        <v>三重郡川越町豊田一色272-1</v>
      </c>
      <c r="D203" s="1" t="str">
        <f>"059-363-2485  "</f>
        <v xml:space="preserve">059-363-2485  </v>
      </c>
      <c r="E203" s="1" t="s">
        <v>14</v>
      </c>
    </row>
    <row r="204" spans="1:5" x14ac:dyDescent="0.55000000000000004">
      <c r="A204" s="1" t="s">
        <v>2525</v>
      </c>
      <c r="B204" s="1" t="s">
        <v>1053</v>
      </c>
      <c r="C204" s="1" t="str">
        <f>"三重郡川越町豊田299-1"</f>
        <v>三重郡川越町豊田299-1</v>
      </c>
      <c r="D204" s="1" t="str">
        <f>"059-364-4103  "</f>
        <v xml:space="preserve">059-364-4103  </v>
      </c>
      <c r="E204" s="1" t="s">
        <v>2526</v>
      </c>
    </row>
    <row r="205" spans="1:5" x14ac:dyDescent="0.55000000000000004">
      <c r="A205" s="1" t="s">
        <v>1052</v>
      </c>
      <c r="B205" s="1" t="s">
        <v>1053</v>
      </c>
      <c r="C205" s="1" t="str">
        <f>"三重郡川越町豊田299-1"</f>
        <v>三重郡川越町豊田299-1</v>
      </c>
      <c r="D205" s="1" t="str">
        <f>"059-364-4103  "</f>
        <v xml:space="preserve">059-364-4103  </v>
      </c>
      <c r="E205" s="1" t="s">
        <v>107</v>
      </c>
    </row>
    <row r="206" spans="1:5" x14ac:dyDescent="0.55000000000000004">
      <c r="A206" s="1" t="s">
        <v>2075</v>
      </c>
      <c r="B206" s="1" t="s">
        <v>2076</v>
      </c>
      <c r="C206" s="1" t="s">
        <v>3090</v>
      </c>
      <c r="D206" s="1" t="str">
        <f>"059-327-5652  "</f>
        <v xml:space="preserve">059-327-5652  </v>
      </c>
      <c r="E206" s="1" t="s">
        <v>34</v>
      </c>
    </row>
    <row r="207" spans="1:5" x14ac:dyDescent="0.55000000000000004">
      <c r="A207" s="1" t="s">
        <v>1841</v>
      </c>
      <c r="B207" s="1" t="s">
        <v>1459</v>
      </c>
      <c r="C207" s="1" t="str">
        <f>"四日市市諏訪町4-5四日市諏訪町ビル4階"</f>
        <v>四日市市諏訪町4-5四日市諏訪町ビル4階</v>
      </c>
      <c r="D207" s="1" t="str">
        <f>"059-356-8880  "</f>
        <v xml:space="preserve">059-356-8880  </v>
      </c>
      <c r="E207" s="1" t="s">
        <v>34</v>
      </c>
    </row>
    <row r="208" spans="1:5" x14ac:dyDescent="0.55000000000000004">
      <c r="A208" s="1" t="s">
        <v>1160</v>
      </c>
      <c r="B208" s="1" t="s">
        <v>1161</v>
      </c>
      <c r="C208" s="1" t="str">
        <f>"四日市市赤水町1274-3"</f>
        <v>四日市市赤水町1274-3</v>
      </c>
      <c r="D208" s="1" t="str">
        <f>"059-327-1515  "</f>
        <v xml:space="preserve">059-327-1515  </v>
      </c>
      <c r="E208" s="1" t="s">
        <v>233</v>
      </c>
    </row>
    <row r="209" spans="1:5" x14ac:dyDescent="0.55000000000000004">
      <c r="A209" s="1" t="s">
        <v>774</v>
      </c>
      <c r="B209" s="1" t="s">
        <v>775</v>
      </c>
      <c r="C209" s="1" t="str">
        <f>"四日市市あさけが丘2-1-112"</f>
        <v>四日市市あさけが丘2-1-112</v>
      </c>
      <c r="D209" s="1" t="str">
        <f>"059-337-3417  "</f>
        <v xml:space="preserve">059-337-3417  </v>
      </c>
      <c r="E209" s="1" t="s">
        <v>14</v>
      </c>
    </row>
    <row r="210" spans="1:5" x14ac:dyDescent="0.55000000000000004">
      <c r="A210" s="1" t="s">
        <v>776</v>
      </c>
      <c r="B210" s="1" t="s">
        <v>775</v>
      </c>
      <c r="C210" s="1" t="str">
        <f>"四日市市あさけが丘2-1-112"</f>
        <v>四日市市あさけが丘2-1-112</v>
      </c>
      <c r="D210" s="1" t="str">
        <f>"059-337-3417  "</f>
        <v xml:space="preserve">059-337-3417  </v>
      </c>
      <c r="E210" s="1" t="s">
        <v>34</v>
      </c>
    </row>
    <row r="211" spans="1:5" x14ac:dyDescent="0.55000000000000004">
      <c r="A211" s="1" t="s">
        <v>1586</v>
      </c>
      <c r="B211" s="1" t="s">
        <v>89</v>
      </c>
      <c r="C211" s="1" t="str">
        <f>"四日市市下海老町108-2"</f>
        <v>四日市市下海老町108-2</v>
      </c>
      <c r="D211" s="1" t="str">
        <f>"059-337-8741  "</f>
        <v xml:space="preserve">059-337-8741  </v>
      </c>
      <c r="E211" s="1" t="s">
        <v>135</v>
      </c>
    </row>
    <row r="212" spans="1:5" x14ac:dyDescent="0.55000000000000004">
      <c r="A212" s="1" t="s">
        <v>401</v>
      </c>
      <c r="B212" s="1" t="s">
        <v>402</v>
      </c>
      <c r="C212" s="1" t="str">
        <f>"四日市市西阿倉川304-1"</f>
        <v>四日市市西阿倉川304-1</v>
      </c>
      <c r="D212" s="1" t="str">
        <f>"059-330-7070  "</f>
        <v xml:space="preserve">059-330-7070  </v>
      </c>
      <c r="E212" s="1" t="s">
        <v>403</v>
      </c>
    </row>
    <row r="213" spans="1:5" x14ac:dyDescent="0.55000000000000004">
      <c r="A213" s="1" t="s">
        <v>2263</v>
      </c>
      <c r="B213" s="1" t="s">
        <v>977</v>
      </c>
      <c r="C213" s="1" t="s">
        <v>978</v>
      </c>
      <c r="D213" s="1" t="str">
        <f t="shared" ref="D213:D221" si="6">"059-336-2404  "</f>
        <v xml:space="preserve">059-336-2404  </v>
      </c>
      <c r="E213" s="1" t="s">
        <v>1182</v>
      </c>
    </row>
    <row r="214" spans="1:5" x14ac:dyDescent="0.55000000000000004">
      <c r="A214" s="1" t="s">
        <v>2395</v>
      </c>
      <c r="B214" s="1" t="s">
        <v>977</v>
      </c>
      <c r="C214" s="1" t="s">
        <v>978</v>
      </c>
      <c r="D214" s="1" t="str">
        <f t="shared" si="6"/>
        <v xml:space="preserve">059-336-2404  </v>
      </c>
      <c r="E214" s="1" t="s">
        <v>979</v>
      </c>
    </row>
    <row r="215" spans="1:5" x14ac:dyDescent="0.55000000000000004">
      <c r="A215" s="1" t="s">
        <v>3010</v>
      </c>
      <c r="B215" s="1" t="s">
        <v>977</v>
      </c>
      <c r="C215" s="1" t="s">
        <v>978</v>
      </c>
      <c r="D215" s="1" t="str">
        <f t="shared" si="6"/>
        <v xml:space="preserve">059-336-2404  </v>
      </c>
      <c r="E215" s="1" t="s">
        <v>1182</v>
      </c>
    </row>
    <row r="216" spans="1:5" x14ac:dyDescent="0.55000000000000004">
      <c r="A216" s="1" t="s">
        <v>2112</v>
      </c>
      <c r="B216" s="1" t="s">
        <v>977</v>
      </c>
      <c r="C216" s="1" t="s">
        <v>978</v>
      </c>
      <c r="D216" s="1" t="str">
        <f t="shared" si="6"/>
        <v xml:space="preserve">059-336-2404  </v>
      </c>
      <c r="E216" s="1" t="s">
        <v>979</v>
      </c>
    </row>
    <row r="217" spans="1:5" x14ac:dyDescent="0.55000000000000004">
      <c r="A217" s="1" t="s">
        <v>1181</v>
      </c>
      <c r="B217" s="1" t="s">
        <v>977</v>
      </c>
      <c r="C217" s="1" t="s">
        <v>978</v>
      </c>
      <c r="D217" s="1" t="str">
        <f t="shared" si="6"/>
        <v xml:space="preserve">059-336-2404  </v>
      </c>
      <c r="E217" s="1" t="s">
        <v>1182</v>
      </c>
    </row>
    <row r="218" spans="1:5" x14ac:dyDescent="0.55000000000000004">
      <c r="A218" s="1" t="s">
        <v>1587</v>
      </c>
      <c r="B218" s="1" t="s">
        <v>977</v>
      </c>
      <c r="C218" s="1" t="s">
        <v>978</v>
      </c>
      <c r="D218" s="1" t="str">
        <f t="shared" si="6"/>
        <v xml:space="preserve">059-336-2404  </v>
      </c>
      <c r="E218" s="1" t="s">
        <v>1182</v>
      </c>
    </row>
    <row r="219" spans="1:5" x14ac:dyDescent="0.55000000000000004">
      <c r="A219" s="1" t="s">
        <v>2774</v>
      </c>
      <c r="B219" s="1" t="s">
        <v>977</v>
      </c>
      <c r="C219" s="1" t="s">
        <v>978</v>
      </c>
      <c r="D219" s="1" t="str">
        <f t="shared" si="6"/>
        <v xml:space="preserve">059-336-2404  </v>
      </c>
      <c r="E219" s="1" t="s">
        <v>1182</v>
      </c>
    </row>
    <row r="220" spans="1:5" x14ac:dyDescent="0.55000000000000004">
      <c r="A220" s="1" t="s">
        <v>2609</v>
      </c>
      <c r="B220" s="1" t="s">
        <v>977</v>
      </c>
      <c r="C220" s="1" t="s">
        <v>978</v>
      </c>
      <c r="D220" s="1" t="str">
        <f t="shared" si="6"/>
        <v xml:space="preserve">059-336-2404  </v>
      </c>
      <c r="E220" s="1" t="s">
        <v>979</v>
      </c>
    </row>
    <row r="221" spans="1:5" x14ac:dyDescent="0.55000000000000004">
      <c r="A221" s="1" t="s">
        <v>2626</v>
      </c>
      <c r="B221" s="1" t="s">
        <v>977</v>
      </c>
      <c r="C221" s="1" t="s">
        <v>978</v>
      </c>
      <c r="D221" s="1" t="str">
        <f t="shared" si="6"/>
        <v xml:space="preserve">059-336-2404  </v>
      </c>
      <c r="E221" s="1" t="s">
        <v>1182</v>
      </c>
    </row>
    <row r="222" spans="1:5" x14ac:dyDescent="0.55000000000000004">
      <c r="A222" s="1" t="s">
        <v>549</v>
      </c>
      <c r="B222" s="1" t="s">
        <v>550</v>
      </c>
      <c r="C222" s="1" t="str">
        <f>"四日市市中川原2丁目3-8"</f>
        <v>四日市市中川原2丁目3-8</v>
      </c>
      <c r="D222" s="1" t="str">
        <f>"059-350-7775  "</f>
        <v xml:space="preserve">059-350-7775  </v>
      </c>
      <c r="E222" s="1" t="s">
        <v>6</v>
      </c>
    </row>
    <row r="223" spans="1:5" x14ac:dyDescent="0.55000000000000004">
      <c r="A223" s="1" t="s">
        <v>2706</v>
      </c>
      <c r="B223" s="1" t="s">
        <v>2707</v>
      </c>
      <c r="C223" s="1" t="str">
        <f>"四日市市天カ須賀四丁目6-8"</f>
        <v>四日市市天カ須賀四丁目6-8</v>
      </c>
      <c r="D223" s="1" t="str">
        <f>"059-361-7755  "</f>
        <v xml:space="preserve">059-361-7755  </v>
      </c>
      <c r="E223" s="1" t="s">
        <v>6</v>
      </c>
    </row>
    <row r="224" spans="1:5" x14ac:dyDescent="0.55000000000000004">
      <c r="A224" s="1" t="s">
        <v>2078</v>
      </c>
      <c r="B224" s="1" t="s">
        <v>2079</v>
      </c>
      <c r="C224" s="1" t="str">
        <f>"四日市市大字茂福785-1"</f>
        <v>四日市市大字茂福785-1</v>
      </c>
      <c r="D224" s="1" t="str">
        <f>"059-366-1115  "</f>
        <v xml:space="preserve">059-366-1115  </v>
      </c>
      <c r="E224" s="1" t="s">
        <v>69</v>
      </c>
    </row>
    <row r="225" spans="1:5" x14ac:dyDescent="0.55000000000000004">
      <c r="A225" s="1" t="s">
        <v>1693</v>
      </c>
      <c r="B225" s="1" t="s">
        <v>1694</v>
      </c>
      <c r="C225" s="1" t="str">
        <f>"四日市市富田一色町30-59"</f>
        <v>四日市市富田一色町30-59</v>
      </c>
      <c r="D225" s="1" t="str">
        <f>"059-361-5001  "</f>
        <v xml:space="preserve">059-361-5001  </v>
      </c>
      <c r="E225" s="1" t="s">
        <v>6</v>
      </c>
    </row>
    <row r="226" spans="1:5" x14ac:dyDescent="0.55000000000000004">
      <c r="A226" s="1" t="s">
        <v>505</v>
      </c>
      <c r="B226" s="1" t="s">
        <v>506</v>
      </c>
      <c r="C226" s="1" t="str">
        <f>"四日市市桜町1278-2"</f>
        <v>四日市市桜町1278-2</v>
      </c>
      <c r="D226" s="1" t="str">
        <f>"059-326-8000  "</f>
        <v xml:space="preserve">059-326-8000  </v>
      </c>
      <c r="E226" s="1" t="s">
        <v>6</v>
      </c>
    </row>
    <row r="227" spans="1:5" x14ac:dyDescent="0.55000000000000004">
      <c r="A227" s="1" t="s">
        <v>2006</v>
      </c>
      <c r="B227" s="1" t="s">
        <v>2007</v>
      </c>
      <c r="C227" s="1" t="s">
        <v>2008</v>
      </c>
      <c r="D227" s="1" t="str">
        <f>"0259-327-7581 "</f>
        <v xml:space="preserve">0259-327-7581 </v>
      </c>
      <c r="E227" s="1" t="s">
        <v>1187</v>
      </c>
    </row>
    <row r="228" spans="1:5" x14ac:dyDescent="0.55000000000000004">
      <c r="A228" s="1" t="s">
        <v>541</v>
      </c>
      <c r="B228" s="1" t="s">
        <v>542</v>
      </c>
      <c r="C228" s="1" t="str">
        <f>"四日市市高角町694-1"</f>
        <v>四日市市高角町694-1</v>
      </c>
      <c r="D228" s="1" t="str">
        <f>"059-325-3511  "</f>
        <v xml:space="preserve">059-325-3511  </v>
      </c>
      <c r="E228" s="1" t="s">
        <v>135</v>
      </c>
    </row>
    <row r="229" spans="1:5" x14ac:dyDescent="0.55000000000000004">
      <c r="A229" s="1" t="s">
        <v>285</v>
      </c>
      <c r="B229" s="1" t="s">
        <v>286</v>
      </c>
      <c r="C229" s="1" t="s">
        <v>287</v>
      </c>
      <c r="D229" s="1" t="str">
        <f>"059-357-1600  "</f>
        <v xml:space="preserve">059-357-1600  </v>
      </c>
      <c r="E229" s="1" t="s">
        <v>34</v>
      </c>
    </row>
    <row r="230" spans="1:5" x14ac:dyDescent="0.55000000000000004">
      <c r="A230" s="1" t="s">
        <v>1496</v>
      </c>
      <c r="B230" s="1" t="s">
        <v>1497</v>
      </c>
      <c r="C230" s="1" t="s">
        <v>1498</v>
      </c>
      <c r="D230" s="1" t="str">
        <f>"059-334-0187  "</f>
        <v xml:space="preserve">059-334-0187  </v>
      </c>
      <c r="E230" s="1" t="s">
        <v>1499</v>
      </c>
    </row>
    <row r="231" spans="1:5" x14ac:dyDescent="0.55000000000000004">
      <c r="A231" s="1" t="s">
        <v>1167</v>
      </c>
      <c r="B231" s="1" t="s">
        <v>1168</v>
      </c>
      <c r="C231" s="1" t="str">
        <f>"四日市市野田2-9-12"</f>
        <v>四日市市野田2-9-12</v>
      </c>
      <c r="D231" s="1" t="str">
        <f>"059-332-5100  "</f>
        <v xml:space="preserve">059-332-5100  </v>
      </c>
      <c r="E231" s="1" t="s">
        <v>1169</v>
      </c>
    </row>
    <row r="232" spans="1:5" x14ac:dyDescent="0.55000000000000004">
      <c r="A232" s="1" t="s">
        <v>1725</v>
      </c>
      <c r="B232" s="1" t="s">
        <v>1726</v>
      </c>
      <c r="C232" s="1" t="str">
        <f>"四日市市垂坂町413-1"</f>
        <v>四日市市垂坂町413-1</v>
      </c>
      <c r="D232" s="1" t="str">
        <f>"059-330-5222  "</f>
        <v xml:space="preserve">059-330-5222  </v>
      </c>
      <c r="E232" s="1" t="s">
        <v>944</v>
      </c>
    </row>
    <row r="233" spans="1:5" x14ac:dyDescent="0.55000000000000004">
      <c r="A233" s="1" t="s">
        <v>1284</v>
      </c>
      <c r="B233" s="1" t="s">
        <v>1285</v>
      </c>
      <c r="C233" s="1" t="s">
        <v>1286</v>
      </c>
      <c r="D233" s="1" t="str">
        <f>"059-340-4112  "</f>
        <v xml:space="preserve">059-340-4112  </v>
      </c>
      <c r="E233" s="1" t="s">
        <v>10</v>
      </c>
    </row>
    <row r="234" spans="1:5" x14ac:dyDescent="0.55000000000000004">
      <c r="A234" s="1" t="s">
        <v>1852</v>
      </c>
      <c r="B234" s="1" t="s">
        <v>1853</v>
      </c>
      <c r="C234" s="1" t="str">
        <f>"四日市市石塚町5-6"</f>
        <v>四日市市石塚町5-6</v>
      </c>
      <c r="D234" s="1" t="str">
        <f>"059-355-1112  "</f>
        <v xml:space="preserve">059-355-1112  </v>
      </c>
      <c r="E234" s="1" t="s">
        <v>352</v>
      </c>
    </row>
    <row r="235" spans="1:5" x14ac:dyDescent="0.55000000000000004">
      <c r="A235" s="1" t="s">
        <v>2711</v>
      </c>
      <c r="B235" s="1" t="s">
        <v>2712</v>
      </c>
      <c r="C235" s="1" t="str">
        <f>"四日市市ときわ五丁目1-19"</f>
        <v>四日市市ときわ五丁目1-19</v>
      </c>
      <c r="D235" s="1" t="str">
        <f>"059-355-5600  "</f>
        <v xml:space="preserve">059-355-5600  </v>
      </c>
      <c r="E235" s="1" t="s">
        <v>106</v>
      </c>
    </row>
    <row r="236" spans="1:5" x14ac:dyDescent="0.55000000000000004">
      <c r="A236" s="1" t="s">
        <v>1810</v>
      </c>
      <c r="B236" s="1" t="s">
        <v>1811</v>
      </c>
      <c r="C236" s="1" t="s">
        <v>2677</v>
      </c>
      <c r="D236" s="1" t="str">
        <f>"059-349-5500  "</f>
        <v xml:space="preserve">059-349-5500  </v>
      </c>
      <c r="E236" s="1" t="s">
        <v>259</v>
      </c>
    </row>
    <row r="237" spans="1:5" x14ac:dyDescent="0.55000000000000004">
      <c r="A237" s="1" t="s">
        <v>2860</v>
      </c>
      <c r="B237" s="1" t="s">
        <v>2861</v>
      </c>
      <c r="C237" s="1" t="str">
        <f>"四日市市富州原町2-40イオンモール四日市北"</f>
        <v>四日市市富州原町2-40イオンモール四日市北</v>
      </c>
      <c r="D237" s="1" t="str">
        <f>"059-325-7185  "</f>
        <v xml:space="preserve">059-325-7185  </v>
      </c>
      <c r="E237" s="1" t="s">
        <v>34</v>
      </c>
    </row>
    <row r="238" spans="1:5" x14ac:dyDescent="0.55000000000000004">
      <c r="A238" s="1" t="s">
        <v>1744</v>
      </c>
      <c r="B238" s="1" t="s">
        <v>1745</v>
      </c>
      <c r="C238" s="1" t="str">
        <f>"四日市市大字茂福781-1"</f>
        <v>四日市市大字茂福781-1</v>
      </c>
      <c r="D238" s="1" t="str">
        <f>"059-361-0202  "</f>
        <v xml:space="preserve">059-361-0202  </v>
      </c>
      <c r="E238" s="1" t="s">
        <v>39</v>
      </c>
    </row>
    <row r="239" spans="1:5" x14ac:dyDescent="0.55000000000000004">
      <c r="A239" s="1" t="s">
        <v>2155</v>
      </c>
      <c r="B239" s="1" t="s">
        <v>2156</v>
      </c>
      <c r="C239" s="1" t="str">
        <f>"四日市市生桑町582-5"</f>
        <v>四日市市生桑町582-5</v>
      </c>
      <c r="D239" s="1" t="str">
        <f>"059-332-3456  "</f>
        <v xml:space="preserve">059-332-3456  </v>
      </c>
      <c r="E239" s="1" t="s">
        <v>28</v>
      </c>
    </row>
    <row r="240" spans="1:5" x14ac:dyDescent="0.55000000000000004">
      <c r="A240" s="1" t="s">
        <v>308</v>
      </c>
      <c r="B240" s="1" t="s">
        <v>309</v>
      </c>
      <c r="C240" s="1" t="str">
        <f>"四日市市川島町5969-7"</f>
        <v>四日市市川島町5969-7</v>
      </c>
      <c r="D240" s="1" t="str">
        <f>"059-320-2110  "</f>
        <v xml:space="preserve">059-320-2110  </v>
      </c>
      <c r="E240" s="1" t="s">
        <v>310</v>
      </c>
    </row>
    <row r="241" spans="1:5" x14ac:dyDescent="0.55000000000000004">
      <c r="A241" s="1" t="s">
        <v>2510</v>
      </c>
      <c r="B241" s="1" t="s">
        <v>2511</v>
      </c>
      <c r="C241" s="1" t="str">
        <f>"四日市市上海老町字東大沢1633-140"</f>
        <v>四日市市上海老町字東大沢1633-140</v>
      </c>
      <c r="D241" s="1" t="str">
        <f>"059-325-2277  "</f>
        <v xml:space="preserve">059-325-2277  </v>
      </c>
      <c r="E241" s="1" t="s">
        <v>2512</v>
      </c>
    </row>
    <row r="242" spans="1:5" x14ac:dyDescent="0.55000000000000004">
      <c r="A242" s="1" t="s">
        <v>558</v>
      </c>
      <c r="B242" s="1" t="s">
        <v>559</v>
      </c>
      <c r="C242" s="1" t="str">
        <f>"四日市市日永西5丁目20-11"</f>
        <v>四日市市日永西5丁目20-11</v>
      </c>
      <c r="D242" s="1" t="str">
        <f>"059-346-8800  "</f>
        <v xml:space="preserve">059-346-8800  </v>
      </c>
      <c r="E242" s="1" t="s">
        <v>34</v>
      </c>
    </row>
    <row r="243" spans="1:5" x14ac:dyDescent="0.55000000000000004">
      <c r="A243" s="1" t="s">
        <v>2152</v>
      </c>
      <c r="B243" s="1" t="s">
        <v>2153</v>
      </c>
      <c r="C243" s="1" t="str">
        <f>"四日市市日永1丁目7-19"</f>
        <v>四日市市日永1丁目7-19</v>
      </c>
      <c r="D243" s="1" t="str">
        <f>"059-346-2558  "</f>
        <v xml:space="preserve">059-346-2558  </v>
      </c>
      <c r="E243" s="1" t="s">
        <v>299</v>
      </c>
    </row>
    <row r="244" spans="1:5" x14ac:dyDescent="0.55000000000000004">
      <c r="A244" s="1" t="s">
        <v>2938</v>
      </c>
      <c r="B244" s="1" t="s">
        <v>67</v>
      </c>
      <c r="C244" s="1" t="s">
        <v>3089</v>
      </c>
      <c r="D244" s="1" t="str">
        <f>"059-333-6471  "</f>
        <v xml:space="preserve">059-333-6471  </v>
      </c>
      <c r="E244" s="1" t="s">
        <v>6</v>
      </c>
    </row>
    <row r="245" spans="1:5" x14ac:dyDescent="0.55000000000000004">
      <c r="A245" s="1" t="s">
        <v>2234</v>
      </c>
      <c r="B245" s="1" t="s">
        <v>2235</v>
      </c>
      <c r="C245" s="1" t="s">
        <v>2236</v>
      </c>
      <c r="D245" s="1" t="str">
        <f>"059-327-7676  "</f>
        <v xml:space="preserve">059-327-7676  </v>
      </c>
      <c r="E245" s="1" t="s">
        <v>2237</v>
      </c>
    </row>
    <row r="246" spans="1:5" x14ac:dyDescent="0.55000000000000004">
      <c r="A246" s="1" t="s">
        <v>718</v>
      </c>
      <c r="B246" s="1" t="s">
        <v>719</v>
      </c>
      <c r="C246" s="1" t="str">
        <f>"四日市市生桑町菰池450-3"</f>
        <v>四日市市生桑町菰池450-3</v>
      </c>
      <c r="D246" s="1" t="str">
        <f>"059-330-7722  "</f>
        <v xml:space="preserve">059-330-7722  </v>
      </c>
      <c r="E246" s="1" t="s">
        <v>106</v>
      </c>
    </row>
    <row r="247" spans="1:5" x14ac:dyDescent="0.55000000000000004">
      <c r="A247" s="1" t="s">
        <v>2265</v>
      </c>
      <c r="B247" s="1" t="s">
        <v>108</v>
      </c>
      <c r="C247" s="1" t="str">
        <f t="shared" ref="C247:C267" si="7">"四日市市生桑町菰池458-1"</f>
        <v>四日市市生桑町菰池458-1</v>
      </c>
      <c r="D247" s="1" t="str">
        <f t="shared" ref="D247:D267" si="8">"059-330-6000  "</f>
        <v xml:space="preserve">059-330-6000  </v>
      </c>
      <c r="E247" s="1" t="s">
        <v>14</v>
      </c>
    </row>
    <row r="248" spans="1:5" x14ac:dyDescent="0.55000000000000004">
      <c r="A248" s="1" t="s">
        <v>2371</v>
      </c>
      <c r="B248" s="1" t="s">
        <v>108</v>
      </c>
      <c r="C248" s="1" t="str">
        <f t="shared" si="7"/>
        <v>四日市市生桑町菰池458-1</v>
      </c>
      <c r="D248" s="1" t="str">
        <f t="shared" si="8"/>
        <v xml:space="preserve">059-330-6000  </v>
      </c>
      <c r="E248" s="1" t="s">
        <v>22</v>
      </c>
    </row>
    <row r="249" spans="1:5" x14ac:dyDescent="0.55000000000000004">
      <c r="A249" s="1" t="s">
        <v>2414</v>
      </c>
      <c r="B249" s="1" t="s">
        <v>108</v>
      </c>
      <c r="C249" s="1" t="str">
        <f t="shared" si="7"/>
        <v>四日市市生桑町菰池458-1</v>
      </c>
      <c r="D249" s="1" t="str">
        <f t="shared" si="8"/>
        <v xml:space="preserve">059-330-6000  </v>
      </c>
      <c r="E249" s="1" t="s">
        <v>216</v>
      </c>
    </row>
    <row r="250" spans="1:5" x14ac:dyDescent="0.55000000000000004">
      <c r="A250" s="1" t="s">
        <v>2443</v>
      </c>
      <c r="B250" s="1" t="s">
        <v>108</v>
      </c>
      <c r="C250" s="1" t="str">
        <f t="shared" si="7"/>
        <v>四日市市生桑町菰池458-1</v>
      </c>
      <c r="D250" s="1" t="str">
        <f t="shared" si="8"/>
        <v xml:space="preserve">059-330-6000  </v>
      </c>
      <c r="E250" s="1" t="s">
        <v>14</v>
      </c>
    </row>
    <row r="251" spans="1:5" x14ac:dyDescent="0.55000000000000004">
      <c r="A251" s="1" t="s">
        <v>2473</v>
      </c>
      <c r="B251" s="1" t="s">
        <v>108</v>
      </c>
      <c r="C251" s="1" t="str">
        <f t="shared" si="7"/>
        <v>四日市市生桑町菰池458-1</v>
      </c>
      <c r="D251" s="1" t="str">
        <f t="shared" si="8"/>
        <v xml:space="preserve">059-330-6000  </v>
      </c>
      <c r="E251" s="1" t="s">
        <v>34</v>
      </c>
    </row>
    <row r="252" spans="1:5" x14ac:dyDescent="0.55000000000000004">
      <c r="A252" s="1" t="s">
        <v>2117</v>
      </c>
      <c r="B252" s="1" t="s">
        <v>108</v>
      </c>
      <c r="C252" s="1" t="str">
        <f t="shared" si="7"/>
        <v>四日市市生桑町菰池458-1</v>
      </c>
      <c r="D252" s="1" t="str">
        <f t="shared" si="8"/>
        <v xml:space="preserve">059-330-6000  </v>
      </c>
      <c r="E252" s="1" t="s">
        <v>2118</v>
      </c>
    </row>
    <row r="253" spans="1:5" x14ac:dyDescent="0.55000000000000004">
      <c r="A253" s="1" t="s">
        <v>2500</v>
      </c>
      <c r="B253" s="1" t="s">
        <v>108</v>
      </c>
      <c r="C253" s="1" t="str">
        <f t="shared" si="7"/>
        <v>四日市市生桑町菰池458-1</v>
      </c>
      <c r="D253" s="1" t="str">
        <f t="shared" si="8"/>
        <v xml:space="preserve">059-330-6000  </v>
      </c>
      <c r="E253" s="1" t="s">
        <v>14</v>
      </c>
    </row>
    <row r="254" spans="1:5" x14ac:dyDescent="0.55000000000000004">
      <c r="A254" s="1" t="s">
        <v>2143</v>
      </c>
      <c r="B254" s="1" t="s">
        <v>108</v>
      </c>
      <c r="C254" s="1" t="str">
        <f t="shared" si="7"/>
        <v>四日市市生桑町菰池458-1</v>
      </c>
      <c r="D254" s="1" t="str">
        <f t="shared" si="8"/>
        <v xml:space="preserve">059-330-6000  </v>
      </c>
      <c r="E254" s="1" t="s">
        <v>135</v>
      </c>
    </row>
    <row r="255" spans="1:5" x14ac:dyDescent="0.55000000000000004">
      <c r="A255" s="1" t="s">
        <v>2567</v>
      </c>
      <c r="B255" s="1" t="s">
        <v>108</v>
      </c>
      <c r="C255" s="1" t="str">
        <f t="shared" si="7"/>
        <v>四日市市生桑町菰池458-1</v>
      </c>
      <c r="D255" s="1" t="str">
        <f t="shared" si="8"/>
        <v xml:space="preserve">059-330-6000  </v>
      </c>
      <c r="E255" s="1" t="s">
        <v>107</v>
      </c>
    </row>
    <row r="256" spans="1:5" x14ac:dyDescent="0.55000000000000004">
      <c r="A256" s="1" t="s">
        <v>484</v>
      </c>
      <c r="B256" s="1" t="s">
        <v>108</v>
      </c>
      <c r="C256" s="1" t="str">
        <f t="shared" si="7"/>
        <v>四日市市生桑町菰池458-1</v>
      </c>
      <c r="D256" s="1" t="str">
        <f t="shared" si="8"/>
        <v xml:space="preserve">059-330-6000  </v>
      </c>
      <c r="E256" s="1" t="s">
        <v>111</v>
      </c>
    </row>
    <row r="257" spans="1:5" x14ac:dyDescent="0.55000000000000004">
      <c r="A257" s="1" t="s">
        <v>494</v>
      </c>
      <c r="B257" s="1" t="s">
        <v>108</v>
      </c>
      <c r="C257" s="1" t="str">
        <f t="shared" si="7"/>
        <v>四日市市生桑町菰池458-1</v>
      </c>
      <c r="D257" s="1" t="str">
        <f t="shared" si="8"/>
        <v xml:space="preserve">059-330-6000  </v>
      </c>
      <c r="E257" s="1" t="s">
        <v>22</v>
      </c>
    </row>
    <row r="258" spans="1:5" x14ac:dyDescent="0.55000000000000004">
      <c r="A258" s="1" t="s">
        <v>496</v>
      </c>
      <c r="B258" s="1" t="s">
        <v>108</v>
      </c>
      <c r="C258" s="1" t="str">
        <f t="shared" si="7"/>
        <v>四日市市生桑町菰池458-1</v>
      </c>
      <c r="D258" s="1" t="str">
        <f t="shared" si="8"/>
        <v xml:space="preserve">059-330-6000  </v>
      </c>
      <c r="E258" s="1" t="s">
        <v>107</v>
      </c>
    </row>
    <row r="259" spans="1:5" x14ac:dyDescent="0.55000000000000004">
      <c r="A259" s="1" t="s">
        <v>973</v>
      </c>
      <c r="B259" s="1" t="s">
        <v>108</v>
      </c>
      <c r="C259" s="1" t="str">
        <f t="shared" si="7"/>
        <v>四日市市生桑町菰池458-1</v>
      </c>
      <c r="D259" s="1" t="str">
        <f t="shared" si="8"/>
        <v xml:space="preserve">059-330-6000  </v>
      </c>
      <c r="E259" s="1" t="s">
        <v>717</v>
      </c>
    </row>
    <row r="260" spans="1:5" x14ac:dyDescent="0.55000000000000004">
      <c r="A260" s="1" t="s">
        <v>974</v>
      </c>
      <c r="B260" s="1" t="s">
        <v>108</v>
      </c>
      <c r="C260" s="1" t="str">
        <f t="shared" si="7"/>
        <v>四日市市生桑町菰池458-1</v>
      </c>
      <c r="D260" s="1" t="str">
        <f t="shared" si="8"/>
        <v xml:space="preserve">059-330-6000  </v>
      </c>
      <c r="E260" s="1" t="s">
        <v>14</v>
      </c>
    </row>
    <row r="261" spans="1:5" x14ac:dyDescent="0.55000000000000004">
      <c r="A261" s="1" t="s">
        <v>1475</v>
      </c>
      <c r="B261" s="1" t="s">
        <v>108</v>
      </c>
      <c r="C261" s="1" t="str">
        <f t="shared" si="7"/>
        <v>四日市市生桑町菰池458-1</v>
      </c>
      <c r="D261" s="1" t="str">
        <f t="shared" si="8"/>
        <v xml:space="preserve">059-330-6000  </v>
      </c>
      <c r="E261" s="1" t="s">
        <v>23</v>
      </c>
    </row>
    <row r="262" spans="1:5" x14ac:dyDescent="0.55000000000000004">
      <c r="A262" s="1" t="s">
        <v>2003</v>
      </c>
      <c r="B262" s="1" t="s">
        <v>108</v>
      </c>
      <c r="C262" s="1" t="str">
        <f t="shared" si="7"/>
        <v>四日市市生桑町菰池458-1</v>
      </c>
      <c r="D262" s="1" t="str">
        <f t="shared" si="8"/>
        <v xml:space="preserve">059-330-6000  </v>
      </c>
      <c r="E262" s="1" t="s">
        <v>35</v>
      </c>
    </row>
    <row r="263" spans="1:5" x14ac:dyDescent="0.55000000000000004">
      <c r="A263" s="1" t="s">
        <v>2192</v>
      </c>
      <c r="B263" s="1" t="s">
        <v>108</v>
      </c>
      <c r="C263" s="1" t="str">
        <f t="shared" si="7"/>
        <v>四日市市生桑町菰池458-1</v>
      </c>
      <c r="D263" s="1" t="str">
        <f t="shared" si="8"/>
        <v xml:space="preserve">059-330-6000  </v>
      </c>
      <c r="E263" s="1" t="s">
        <v>6</v>
      </c>
    </row>
    <row r="264" spans="1:5" x14ac:dyDescent="0.55000000000000004">
      <c r="A264" s="1" t="s">
        <v>2602</v>
      </c>
      <c r="B264" s="1" t="s">
        <v>108</v>
      </c>
      <c r="C264" s="1" t="str">
        <f t="shared" si="7"/>
        <v>四日市市生桑町菰池458-1</v>
      </c>
      <c r="D264" s="1" t="str">
        <f t="shared" si="8"/>
        <v xml:space="preserve">059-330-6000  </v>
      </c>
      <c r="E264" s="1" t="s">
        <v>115</v>
      </c>
    </row>
    <row r="265" spans="1:5" x14ac:dyDescent="0.55000000000000004">
      <c r="A265" s="1" t="s">
        <v>2219</v>
      </c>
      <c r="B265" s="1" t="s">
        <v>108</v>
      </c>
      <c r="C265" s="1" t="str">
        <f t="shared" si="7"/>
        <v>四日市市生桑町菰池458-1</v>
      </c>
      <c r="D265" s="1" t="str">
        <f t="shared" si="8"/>
        <v xml:space="preserve">059-330-6000  </v>
      </c>
      <c r="E265" s="1" t="s">
        <v>135</v>
      </c>
    </row>
    <row r="266" spans="1:5" x14ac:dyDescent="0.55000000000000004">
      <c r="A266" s="1" t="s">
        <v>1849</v>
      </c>
      <c r="B266" s="1" t="s">
        <v>108</v>
      </c>
      <c r="C266" s="1" t="str">
        <f t="shared" si="7"/>
        <v>四日市市生桑町菰池458-1</v>
      </c>
      <c r="D266" s="1" t="str">
        <f t="shared" si="8"/>
        <v xml:space="preserve">059-330-6000  </v>
      </c>
      <c r="E266" s="1" t="s">
        <v>22</v>
      </c>
    </row>
    <row r="267" spans="1:5" x14ac:dyDescent="0.55000000000000004">
      <c r="A267" s="1" t="s">
        <v>2266</v>
      </c>
      <c r="B267" s="1" t="s">
        <v>108</v>
      </c>
      <c r="C267" s="1" t="str">
        <f t="shared" si="7"/>
        <v>四日市市生桑町菰池458-1</v>
      </c>
      <c r="D267" s="1" t="str">
        <f t="shared" si="8"/>
        <v xml:space="preserve">059-330-6000  </v>
      </c>
      <c r="E267" s="1" t="s">
        <v>233</v>
      </c>
    </row>
    <row r="268" spans="1:5" x14ac:dyDescent="0.55000000000000004">
      <c r="A268" s="1" t="s">
        <v>734</v>
      </c>
      <c r="B268" s="1" t="s">
        <v>735</v>
      </c>
      <c r="C268" s="1" t="s">
        <v>736</v>
      </c>
      <c r="D268" s="1" t="str">
        <f>"059-356-4100  "</f>
        <v xml:space="preserve">059-356-4100  </v>
      </c>
      <c r="E268" s="1" t="s">
        <v>34</v>
      </c>
    </row>
    <row r="269" spans="1:5" x14ac:dyDescent="0.55000000000000004">
      <c r="A269" s="1" t="s">
        <v>2748</v>
      </c>
      <c r="B269" s="1" t="s">
        <v>2749</v>
      </c>
      <c r="C269" s="1" t="s">
        <v>2750</v>
      </c>
      <c r="D269" s="1" t="str">
        <f>"059-338-8710  "</f>
        <v xml:space="preserve">059-338-8710  </v>
      </c>
      <c r="E269" s="1" t="s">
        <v>145</v>
      </c>
    </row>
    <row r="270" spans="1:5" x14ac:dyDescent="0.55000000000000004">
      <c r="A270" s="1" t="s">
        <v>225</v>
      </c>
      <c r="B270" s="1" t="s">
        <v>226</v>
      </c>
      <c r="C270" s="1" t="str">
        <f>"四日市市采女町字名倉1798-15"</f>
        <v>四日市市采女町字名倉1798-15</v>
      </c>
      <c r="D270" s="1" t="str">
        <f>"059-349-1166  "</f>
        <v xml:space="preserve">059-349-1166  </v>
      </c>
      <c r="E270" s="1" t="s">
        <v>227</v>
      </c>
    </row>
    <row r="271" spans="1:5" x14ac:dyDescent="0.55000000000000004">
      <c r="A271" s="1" t="s">
        <v>513</v>
      </c>
      <c r="B271" s="1" t="s">
        <v>514</v>
      </c>
      <c r="C271" s="1" t="s">
        <v>515</v>
      </c>
      <c r="D271" s="1" t="str">
        <f>"059-323-1000  "</f>
        <v xml:space="preserve">059-323-1000  </v>
      </c>
      <c r="E271" s="1" t="s">
        <v>78</v>
      </c>
    </row>
    <row r="272" spans="1:5" x14ac:dyDescent="0.55000000000000004">
      <c r="A272" s="1" t="s">
        <v>466</v>
      </c>
      <c r="B272" s="1" t="s">
        <v>467</v>
      </c>
      <c r="C272" s="1" t="str">
        <f>"四日市市松本3-9-11"</f>
        <v>四日市市松本3-9-11</v>
      </c>
      <c r="D272" s="1" t="str">
        <f>"059-359-2000  "</f>
        <v xml:space="preserve">059-359-2000  </v>
      </c>
      <c r="E272" s="1" t="s">
        <v>468</v>
      </c>
    </row>
    <row r="273" spans="1:5" x14ac:dyDescent="0.55000000000000004">
      <c r="A273" s="1" t="s">
        <v>2139</v>
      </c>
      <c r="B273" s="1" t="s">
        <v>2140</v>
      </c>
      <c r="C273" s="1" t="str">
        <f>"四日市市楠町小倉768-1"</f>
        <v>四日市市楠町小倉768-1</v>
      </c>
      <c r="D273" s="1" t="str">
        <f>"059-398-3100  "</f>
        <v xml:space="preserve">059-398-3100  </v>
      </c>
      <c r="E273" s="1" t="s">
        <v>1970</v>
      </c>
    </row>
    <row r="274" spans="1:5" x14ac:dyDescent="0.55000000000000004">
      <c r="A274" s="1" t="s">
        <v>1975</v>
      </c>
      <c r="B274" s="1" t="s">
        <v>1976</v>
      </c>
      <c r="C274" s="1" t="s">
        <v>3076</v>
      </c>
      <c r="D274" s="1" t="str">
        <f>"059-330-0198  "</f>
        <v xml:space="preserve">059-330-0198  </v>
      </c>
      <c r="E274" s="1" t="s">
        <v>34</v>
      </c>
    </row>
    <row r="275" spans="1:5" x14ac:dyDescent="0.55000000000000004">
      <c r="A275" s="1" t="s">
        <v>2463</v>
      </c>
      <c r="B275" s="1" t="s">
        <v>613</v>
      </c>
      <c r="C275" s="1" t="s">
        <v>614</v>
      </c>
      <c r="D275" s="1" t="str">
        <f>"059-325-2255  "</f>
        <v xml:space="preserve">059-325-2255  </v>
      </c>
      <c r="E275" s="1" t="s">
        <v>7</v>
      </c>
    </row>
    <row r="276" spans="1:5" x14ac:dyDescent="0.55000000000000004">
      <c r="A276" s="1" t="s">
        <v>612</v>
      </c>
      <c r="B276" s="1" t="s">
        <v>613</v>
      </c>
      <c r="C276" s="1" t="s">
        <v>614</v>
      </c>
      <c r="D276" s="1" t="str">
        <f>"059-325-2255  "</f>
        <v xml:space="preserve">059-325-2255  </v>
      </c>
      <c r="E276" s="1" t="s">
        <v>615</v>
      </c>
    </row>
    <row r="277" spans="1:5" x14ac:dyDescent="0.55000000000000004">
      <c r="A277" s="1" t="s">
        <v>1919</v>
      </c>
      <c r="B277" s="1" t="s">
        <v>1920</v>
      </c>
      <c r="C277" s="1" t="str">
        <f>"四日市市鵜の森1丁目9-3"</f>
        <v>四日市市鵜の森1丁目9-3</v>
      </c>
      <c r="D277" s="1" t="str">
        <f>"059-351-3387  "</f>
        <v xml:space="preserve">059-351-3387  </v>
      </c>
      <c r="E277" s="1" t="s">
        <v>69</v>
      </c>
    </row>
    <row r="278" spans="1:5" x14ac:dyDescent="0.55000000000000004">
      <c r="A278" s="1" t="s">
        <v>801</v>
      </c>
      <c r="B278" s="1" t="s">
        <v>802</v>
      </c>
      <c r="C278" s="1" t="s">
        <v>803</v>
      </c>
      <c r="D278" s="1" t="str">
        <f>"059-349-1811  "</f>
        <v xml:space="preserve">059-349-1811  </v>
      </c>
      <c r="E278" s="1" t="s">
        <v>106</v>
      </c>
    </row>
    <row r="279" spans="1:5" x14ac:dyDescent="0.55000000000000004">
      <c r="A279" s="1" t="s">
        <v>1967</v>
      </c>
      <c r="B279" s="1" t="s">
        <v>1968</v>
      </c>
      <c r="C279" s="1" t="str">
        <f>"四日市市馳出町3丁目6-3"</f>
        <v>四日市市馳出町3丁目6-3</v>
      </c>
      <c r="D279" s="1" t="str">
        <f>"059-348-1800  "</f>
        <v xml:space="preserve">059-348-1800  </v>
      </c>
      <c r="E279" s="1" t="s">
        <v>1969</v>
      </c>
    </row>
    <row r="280" spans="1:5" x14ac:dyDescent="0.55000000000000004">
      <c r="A280" s="1" t="s">
        <v>1757</v>
      </c>
      <c r="B280" s="1" t="s">
        <v>1758</v>
      </c>
      <c r="C280" s="1" t="str">
        <f>"四日市市松本三丁目13-2"</f>
        <v>四日市市松本三丁目13-2</v>
      </c>
      <c r="D280" s="1" t="str">
        <f>"059-355-4133  "</f>
        <v xml:space="preserve">059-355-4133  </v>
      </c>
      <c r="E280" s="1" t="s">
        <v>69</v>
      </c>
    </row>
    <row r="281" spans="1:5" x14ac:dyDescent="0.55000000000000004">
      <c r="A281" s="1" t="s">
        <v>2187</v>
      </c>
      <c r="B281" s="1" t="s">
        <v>2188</v>
      </c>
      <c r="C281" s="1" t="s">
        <v>2189</v>
      </c>
      <c r="D281" s="1" t="str">
        <f>"059-365-5252  "</f>
        <v xml:space="preserve">059-365-5252  </v>
      </c>
      <c r="E281" s="1" t="s">
        <v>215</v>
      </c>
    </row>
    <row r="282" spans="1:5" x14ac:dyDescent="0.55000000000000004">
      <c r="A282" s="1" t="s">
        <v>2721</v>
      </c>
      <c r="B282" s="1" t="s">
        <v>2722</v>
      </c>
      <c r="C282" s="1" t="str">
        <f>"四日市市高角町734-1"</f>
        <v>四日市市高角町734-1</v>
      </c>
      <c r="D282" s="1" t="str">
        <f>"059-326-6666  "</f>
        <v xml:space="preserve">059-326-6666  </v>
      </c>
      <c r="E282" s="1" t="s">
        <v>2723</v>
      </c>
    </row>
    <row r="283" spans="1:5" x14ac:dyDescent="0.55000000000000004">
      <c r="A283" s="1" t="s">
        <v>839</v>
      </c>
      <c r="B283" s="1" t="s">
        <v>840</v>
      </c>
      <c r="C283" s="1" t="s">
        <v>841</v>
      </c>
      <c r="D283" s="1" t="str">
        <f>"059-347-1188  "</f>
        <v xml:space="preserve">059-347-1188  </v>
      </c>
      <c r="E283" s="1" t="s">
        <v>24</v>
      </c>
    </row>
    <row r="284" spans="1:5" x14ac:dyDescent="0.55000000000000004">
      <c r="A284" s="1" t="s">
        <v>3056</v>
      </c>
      <c r="B284" s="1" t="s">
        <v>3057</v>
      </c>
      <c r="C284" s="1" t="str">
        <f>"四日市市中納屋町4-1"</f>
        <v>四日市市中納屋町4-1</v>
      </c>
      <c r="D284" s="1" t="str">
        <f>"059-353-9261  "</f>
        <v xml:space="preserve">059-353-9261  </v>
      </c>
      <c r="E284" s="1" t="s">
        <v>6</v>
      </c>
    </row>
    <row r="285" spans="1:5" x14ac:dyDescent="0.55000000000000004">
      <c r="A285" s="1" t="s">
        <v>2631</v>
      </c>
      <c r="B285" s="1" t="s">
        <v>2632</v>
      </c>
      <c r="C285" s="1" t="str">
        <f>"四日市市羽津山町7-8号"</f>
        <v>四日市市羽津山町7-8号</v>
      </c>
      <c r="D285" s="1" t="str">
        <f>"059-333-8788  "</f>
        <v xml:space="preserve">059-333-8788  </v>
      </c>
      <c r="E285" s="1" t="s">
        <v>22</v>
      </c>
    </row>
    <row r="286" spans="1:5" x14ac:dyDescent="0.55000000000000004">
      <c r="A286" s="1" t="s">
        <v>2633</v>
      </c>
      <c r="B286" s="1" t="s">
        <v>2632</v>
      </c>
      <c r="C286" s="1" t="str">
        <f>"四日市市羽津山町7-8号"</f>
        <v>四日市市羽津山町7-8号</v>
      </c>
      <c r="D286" s="1" t="str">
        <f>"059-333-8788  "</f>
        <v xml:space="preserve">059-333-8788  </v>
      </c>
      <c r="E286" s="1" t="s">
        <v>22</v>
      </c>
    </row>
    <row r="287" spans="1:5" x14ac:dyDescent="0.55000000000000004">
      <c r="A287" s="1" t="s">
        <v>1791</v>
      </c>
      <c r="B287" s="1" t="s">
        <v>1792</v>
      </c>
      <c r="C287" s="1" t="str">
        <f>"四日市市西浦1-2-8"</f>
        <v>四日市市西浦1-2-8</v>
      </c>
      <c r="D287" s="1" t="str">
        <f>"059-355-5656  "</f>
        <v xml:space="preserve">059-355-5656  </v>
      </c>
      <c r="E287" s="1" t="s">
        <v>1793</v>
      </c>
    </row>
    <row r="288" spans="1:5" x14ac:dyDescent="0.55000000000000004">
      <c r="A288" s="1" t="s">
        <v>414</v>
      </c>
      <c r="B288" s="1" t="s">
        <v>415</v>
      </c>
      <c r="C288" s="1" t="str">
        <f>"四日市市朝日町1-15"</f>
        <v>四日市市朝日町1-15</v>
      </c>
      <c r="D288" s="1" t="str">
        <f>"059-353-3313  "</f>
        <v xml:space="preserve">059-353-3313  </v>
      </c>
      <c r="E288" s="1" t="s">
        <v>416</v>
      </c>
    </row>
    <row r="289" spans="1:5" x14ac:dyDescent="0.55000000000000004">
      <c r="A289" s="1" t="s">
        <v>1993</v>
      </c>
      <c r="B289" s="1" t="s">
        <v>1994</v>
      </c>
      <c r="C289" s="1" t="s">
        <v>3083</v>
      </c>
      <c r="D289" s="1" t="str">
        <f>"059-327-6766  "</f>
        <v xml:space="preserve">059-327-6766  </v>
      </c>
      <c r="E289" s="1" t="s">
        <v>1995</v>
      </c>
    </row>
    <row r="290" spans="1:5" x14ac:dyDescent="0.55000000000000004">
      <c r="A290" s="1" t="s">
        <v>1552</v>
      </c>
      <c r="B290" s="1" t="s">
        <v>1553</v>
      </c>
      <c r="C290" s="1" t="s">
        <v>1554</v>
      </c>
      <c r="D290" s="1" t="str">
        <f>"059-321-3336  "</f>
        <v xml:space="preserve">059-321-3336  </v>
      </c>
      <c r="E290" s="1" t="s">
        <v>1231</v>
      </c>
    </row>
    <row r="291" spans="1:5" x14ac:dyDescent="0.55000000000000004">
      <c r="A291" s="1" t="s">
        <v>2532</v>
      </c>
      <c r="B291" s="1" t="s">
        <v>563</v>
      </c>
      <c r="C291" s="1" t="s">
        <v>564</v>
      </c>
      <c r="D291" s="1" t="str">
        <f>"059-326-8738  "</f>
        <v xml:space="preserve">059-326-8738  </v>
      </c>
      <c r="E291" s="1" t="s">
        <v>10</v>
      </c>
    </row>
    <row r="292" spans="1:5" x14ac:dyDescent="0.55000000000000004">
      <c r="A292" s="1" t="s">
        <v>562</v>
      </c>
      <c r="B292" s="1" t="s">
        <v>563</v>
      </c>
      <c r="C292" s="1" t="s">
        <v>564</v>
      </c>
      <c r="D292" s="1" t="str">
        <f>"059-326-8738  "</f>
        <v xml:space="preserve">059-326-8738  </v>
      </c>
      <c r="E292" s="1" t="s">
        <v>10</v>
      </c>
    </row>
    <row r="293" spans="1:5" x14ac:dyDescent="0.55000000000000004">
      <c r="A293" s="1" t="s">
        <v>2273</v>
      </c>
      <c r="B293" s="1" t="s">
        <v>2274</v>
      </c>
      <c r="C293" s="1" t="str">
        <f>"四日市市富田浜町26-14"</f>
        <v>四日市市富田浜町26-14</v>
      </c>
      <c r="D293" s="1" t="str">
        <f t="shared" ref="D293:D302" si="9">"059-365-0023  "</f>
        <v xml:space="preserve">059-365-0023  </v>
      </c>
      <c r="E293" s="1" t="s">
        <v>6</v>
      </c>
    </row>
    <row r="294" spans="1:5" x14ac:dyDescent="0.55000000000000004">
      <c r="A294" s="1" t="s">
        <v>1985</v>
      </c>
      <c r="B294" s="1" t="s">
        <v>987</v>
      </c>
      <c r="C294" s="1" t="s">
        <v>3091</v>
      </c>
      <c r="D294" s="1" t="str">
        <f t="shared" si="9"/>
        <v xml:space="preserve">059-365-0023  </v>
      </c>
      <c r="E294" s="1" t="s">
        <v>14</v>
      </c>
    </row>
    <row r="295" spans="1:5" x14ac:dyDescent="0.55000000000000004">
      <c r="A295" s="1" t="s">
        <v>2113</v>
      </c>
      <c r="B295" s="1" t="s">
        <v>987</v>
      </c>
      <c r="C295" s="1" t="str">
        <f t="shared" ref="C295:C302" si="10">"四日市市富田浜町26-14"</f>
        <v>四日市市富田浜町26-14</v>
      </c>
      <c r="D295" s="1" t="str">
        <f t="shared" si="9"/>
        <v xml:space="preserve">059-365-0023  </v>
      </c>
      <c r="E295" s="1" t="s">
        <v>131</v>
      </c>
    </row>
    <row r="296" spans="1:5" x14ac:dyDescent="0.55000000000000004">
      <c r="A296" s="1" t="s">
        <v>2130</v>
      </c>
      <c r="B296" s="1" t="s">
        <v>987</v>
      </c>
      <c r="C296" s="1" t="str">
        <f t="shared" si="10"/>
        <v>四日市市富田浜町26-14</v>
      </c>
      <c r="D296" s="1" t="str">
        <f t="shared" si="9"/>
        <v xml:space="preserve">059-365-0023  </v>
      </c>
      <c r="E296" s="1" t="s">
        <v>6</v>
      </c>
    </row>
    <row r="297" spans="1:5" x14ac:dyDescent="0.55000000000000004">
      <c r="A297" s="1" t="s">
        <v>986</v>
      </c>
      <c r="B297" s="1" t="s">
        <v>987</v>
      </c>
      <c r="C297" s="1" t="str">
        <f t="shared" si="10"/>
        <v>四日市市富田浜町26-14</v>
      </c>
      <c r="D297" s="1" t="str">
        <f t="shared" si="9"/>
        <v xml:space="preserve">059-365-0023  </v>
      </c>
      <c r="E297" s="1" t="s">
        <v>111</v>
      </c>
    </row>
    <row r="298" spans="1:5" x14ac:dyDescent="0.55000000000000004">
      <c r="A298" s="1" t="s">
        <v>1608</v>
      </c>
      <c r="B298" s="1" t="s">
        <v>987</v>
      </c>
      <c r="C298" s="1" t="str">
        <f t="shared" si="10"/>
        <v>四日市市富田浜町26-14</v>
      </c>
      <c r="D298" s="1" t="str">
        <f t="shared" si="9"/>
        <v xml:space="preserve">059-365-0023  </v>
      </c>
      <c r="E298" s="1" t="s">
        <v>23</v>
      </c>
    </row>
    <row r="299" spans="1:5" x14ac:dyDescent="0.55000000000000004">
      <c r="A299" s="1" t="s">
        <v>1623</v>
      </c>
      <c r="B299" s="1" t="s">
        <v>987</v>
      </c>
      <c r="C299" s="1" t="str">
        <f t="shared" si="10"/>
        <v>四日市市富田浜町26-14</v>
      </c>
      <c r="D299" s="1" t="str">
        <f t="shared" si="9"/>
        <v xml:space="preserve">059-365-0023  </v>
      </c>
      <c r="E299" s="1" t="s">
        <v>14</v>
      </c>
    </row>
    <row r="300" spans="1:5" x14ac:dyDescent="0.55000000000000004">
      <c r="A300" s="1" t="s">
        <v>2661</v>
      </c>
      <c r="B300" s="1" t="s">
        <v>987</v>
      </c>
      <c r="C300" s="1" t="str">
        <f t="shared" si="10"/>
        <v>四日市市富田浜町26-14</v>
      </c>
      <c r="D300" s="1" t="str">
        <f t="shared" si="9"/>
        <v xml:space="preserve">059-365-0023  </v>
      </c>
      <c r="E300" s="1" t="s">
        <v>14</v>
      </c>
    </row>
    <row r="301" spans="1:5" x14ac:dyDescent="0.55000000000000004">
      <c r="A301" s="1" t="s">
        <v>1879</v>
      </c>
      <c r="B301" s="1" t="s">
        <v>987</v>
      </c>
      <c r="C301" s="1" t="str">
        <f t="shared" si="10"/>
        <v>四日市市富田浜町26-14</v>
      </c>
      <c r="D301" s="1" t="str">
        <f t="shared" si="9"/>
        <v xml:space="preserve">059-365-0023  </v>
      </c>
      <c r="E301" s="1" t="s">
        <v>6</v>
      </c>
    </row>
    <row r="302" spans="1:5" x14ac:dyDescent="0.55000000000000004">
      <c r="A302" s="1" t="s">
        <v>2233</v>
      </c>
      <c r="B302" s="1" t="s">
        <v>987</v>
      </c>
      <c r="C302" s="1" t="str">
        <f t="shared" si="10"/>
        <v>四日市市富田浜町26-14</v>
      </c>
      <c r="D302" s="1" t="str">
        <f t="shared" si="9"/>
        <v xml:space="preserve">059-365-0023  </v>
      </c>
      <c r="E302" s="1" t="s">
        <v>14</v>
      </c>
    </row>
    <row r="303" spans="1:5" x14ac:dyDescent="0.55000000000000004">
      <c r="A303" s="1" t="s">
        <v>178</v>
      </c>
      <c r="B303" s="1" t="s">
        <v>179</v>
      </c>
      <c r="C303" s="1" t="str">
        <f>"四日市市富州原町16-16"</f>
        <v>四日市市富州原町16-16</v>
      </c>
      <c r="D303" s="1" t="str">
        <f>"059-365-0658  "</f>
        <v xml:space="preserve">059-365-0658  </v>
      </c>
      <c r="E303" s="1" t="s">
        <v>106</v>
      </c>
    </row>
    <row r="304" spans="1:5" x14ac:dyDescent="0.55000000000000004">
      <c r="A304" s="1" t="s">
        <v>1947</v>
      </c>
      <c r="B304" s="1" t="s">
        <v>1948</v>
      </c>
      <c r="C304" s="1" t="s">
        <v>1949</v>
      </c>
      <c r="D304" s="1" t="str">
        <f>"059-330-0105  "</f>
        <v xml:space="preserve">059-330-0105  </v>
      </c>
      <c r="E304" s="1" t="s">
        <v>528</v>
      </c>
    </row>
    <row r="305" spans="1:5" x14ac:dyDescent="0.55000000000000004">
      <c r="A305" s="1" t="s">
        <v>1921</v>
      </c>
      <c r="B305" s="1" t="s">
        <v>1922</v>
      </c>
      <c r="C305" s="1" t="str">
        <f>"四日市市泊山崎町3-22"</f>
        <v>四日市市泊山崎町3-22</v>
      </c>
      <c r="D305" s="1" t="str">
        <f>"059-345-0906  "</f>
        <v xml:space="preserve">059-345-0906  </v>
      </c>
      <c r="E305" s="1" t="s">
        <v>233</v>
      </c>
    </row>
    <row r="306" spans="1:5" x14ac:dyDescent="0.55000000000000004">
      <c r="A306" s="1" t="s">
        <v>689</v>
      </c>
      <c r="B306" s="1" t="s">
        <v>690</v>
      </c>
      <c r="C306" s="1" t="str">
        <f>"四日市市桜町554-3"</f>
        <v>四日市市桜町554-3</v>
      </c>
      <c r="D306" s="1" t="str">
        <f>"059-326-2066  "</f>
        <v xml:space="preserve">059-326-2066  </v>
      </c>
      <c r="E306" s="1" t="s">
        <v>691</v>
      </c>
    </row>
    <row r="307" spans="1:5" x14ac:dyDescent="0.55000000000000004">
      <c r="A307" s="1" t="s">
        <v>669</v>
      </c>
      <c r="B307" s="1" t="s">
        <v>670</v>
      </c>
      <c r="C307" s="1" t="s">
        <v>671</v>
      </c>
      <c r="D307" s="1" t="str">
        <f>"059-332-8155  "</f>
        <v xml:space="preserve">059-332-8155  </v>
      </c>
      <c r="E307" s="1" t="s">
        <v>6</v>
      </c>
    </row>
    <row r="308" spans="1:5" x14ac:dyDescent="0.55000000000000004">
      <c r="A308" s="1" t="s">
        <v>2915</v>
      </c>
      <c r="B308" s="1" t="s">
        <v>670</v>
      </c>
      <c r="C308" s="1" t="s">
        <v>671</v>
      </c>
      <c r="D308" s="1" t="str">
        <f>"059-332-8155  "</f>
        <v xml:space="preserve">059-332-8155  </v>
      </c>
      <c r="E308" s="1" t="s">
        <v>6</v>
      </c>
    </row>
    <row r="309" spans="1:5" x14ac:dyDescent="0.55000000000000004">
      <c r="A309" s="1" t="s">
        <v>1624</v>
      </c>
      <c r="B309" s="1" t="s">
        <v>66</v>
      </c>
      <c r="C309" s="1" t="str">
        <f>"四日市市小古曽3丁目5-33"</f>
        <v>四日市市小古曽3丁目5-33</v>
      </c>
      <c r="D309" s="1" t="str">
        <f>"059-345-0511  "</f>
        <v xml:space="preserve">059-345-0511  </v>
      </c>
      <c r="E309" s="1" t="s">
        <v>1278</v>
      </c>
    </row>
    <row r="310" spans="1:5" x14ac:dyDescent="0.55000000000000004">
      <c r="A310" s="1" t="s">
        <v>2595</v>
      </c>
      <c r="B310" s="1" t="s">
        <v>2596</v>
      </c>
      <c r="C310" s="1" t="s">
        <v>3095</v>
      </c>
      <c r="D310" s="1" t="str">
        <f>"059-331-3845  "</f>
        <v xml:space="preserve">059-331-3845  </v>
      </c>
      <c r="E310" s="1" t="s">
        <v>115</v>
      </c>
    </row>
    <row r="311" spans="1:5" x14ac:dyDescent="0.55000000000000004">
      <c r="A311" s="1" t="s">
        <v>2378</v>
      </c>
      <c r="B311" s="1" t="s">
        <v>250</v>
      </c>
      <c r="C311" s="1" t="s">
        <v>251</v>
      </c>
      <c r="D311" s="1" t="str">
        <f>"059-326-3000  "</f>
        <v xml:space="preserve">059-326-3000  </v>
      </c>
      <c r="E311" s="1" t="s">
        <v>2379</v>
      </c>
    </row>
    <row r="312" spans="1:5" x14ac:dyDescent="0.55000000000000004">
      <c r="A312" s="1" t="s">
        <v>249</v>
      </c>
      <c r="B312" s="1" t="s">
        <v>250</v>
      </c>
      <c r="C312" s="1" t="s">
        <v>251</v>
      </c>
      <c r="D312" s="1" t="str">
        <f>"059-326-3000  "</f>
        <v xml:space="preserve">059-326-3000  </v>
      </c>
      <c r="E312" s="1" t="s">
        <v>106</v>
      </c>
    </row>
    <row r="313" spans="1:5" x14ac:dyDescent="0.55000000000000004">
      <c r="A313" s="1" t="s">
        <v>495</v>
      </c>
      <c r="B313" s="1" t="s">
        <v>250</v>
      </c>
      <c r="C313" s="1" t="s">
        <v>251</v>
      </c>
      <c r="D313" s="1" t="str">
        <f>"059-326-3000  "</f>
        <v xml:space="preserve">059-326-3000  </v>
      </c>
      <c r="E313" s="1" t="s">
        <v>14</v>
      </c>
    </row>
    <row r="314" spans="1:5" x14ac:dyDescent="0.55000000000000004">
      <c r="A314" s="1" t="s">
        <v>2406</v>
      </c>
      <c r="B314" s="1" t="s">
        <v>11</v>
      </c>
      <c r="C314" s="1" t="str">
        <f>"四日市市富田1-9-3"</f>
        <v>四日市市富田1-9-3</v>
      </c>
      <c r="D314" s="1" t="str">
        <f>"059-364-0006  "</f>
        <v xml:space="preserve">059-364-0006  </v>
      </c>
      <c r="E314" s="1" t="s">
        <v>2407</v>
      </c>
    </row>
    <row r="315" spans="1:5" x14ac:dyDescent="0.55000000000000004">
      <c r="A315" s="1" t="s">
        <v>385</v>
      </c>
      <c r="B315" s="1" t="s">
        <v>386</v>
      </c>
      <c r="C315" s="1" t="str">
        <f>"四日市市日永西3-1-21"</f>
        <v>四日市市日永西3-1-21</v>
      </c>
      <c r="D315" s="1" t="str">
        <f>"059-347-1611  "</f>
        <v xml:space="preserve">059-347-1611  </v>
      </c>
      <c r="E315" s="1" t="s">
        <v>239</v>
      </c>
    </row>
    <row r="316" spans="1:5" x14ac:dyDescent="0.55000000000000004">
      <c r="A316" s="1" t="s">
        <v>712</v>
      </c>
      <c r="B316" s="1" t="s">
        <v>84</v>
      </c>
      <c r="C316" s="1" t="s">
        <v>85</v>
      </c>
      <c r="D316" s="1" t="str">
        <f t="shared" ref="D316:D323" si="11">"059-354-1771  "</f>
        <v xml:space="preserve">059-354-1771  </v>
      </c>
      <c r="E316" s="1" t="s">
        <v>6</v>
      </c>
    </row>
    <row r="317" spans="1:5" x14ac:dyDescent="0.55000000000000004">
      <c r="A317" s="1" t="s">
        <v>1010</v>
      </c>
      <c r="B317" s="1" t="s">
        <v>84</v>
      </c>
      <c r="C317" s="1" t="s">
        <v>85</v>
      </c>
      <c r="D317" s="1" t="str">
        <f t="shared" si="11"/>
        <v xml:space="preserve">059-354-1771  </v>
      </c>
      <c r="E317" s="1" t="s">
        <v>6</v>
      </c>
    </row>
    <row r="318" spans="1:5" x14ac:dyDescent="0.55000000000000004">
      <c r="A318" s="1" t="s">
        <v>2736</v>
      </c>
      <c r="B318" s="1" t="s">
        <v>84</v>
      </c>
      <c r="C318" s="1" t="s">
        <v>85</v>
      </c>
      <c r="D318" s="1" t="str">
        <f t="shared" si="11"/>
        <v xml:space="preserve">059-354-1771  </v>
      </c>
      <c r="E318" s="1" t="s">
        <v>6</v>
      </c>
    </row>
    <row r="319" spans="1:5" x14ac:dyDescent="0.55000000000000004">
      <c r="A319" s="1" t="s">
        <v>1150</v>
      </c>
      <c r="B319" s="1" t="s">
        <v>84</v>
      </c>
      <c r="C319" s="1" t="s">
        <v>85</v>
      </c>
      <c r="D319" s="1" t="str">
        <f t="shared" si="11"/>
        <v xml:space="preserve">059-354-1771  </v>
      </c>
      <c r="E319" s="1" t="s">
        <v>6</v>
      </c>
    </row>
    <row r="320" spans="1:5" x14ac:dyDescent="0.55000000000000004">
      <c r="A320" s="1" t="s">
        <v>1151</v>
      </c>
      <c r="B320" s="1" t="s">
        <v>84</v>
      </c>
      <c r="C320" s="1" t="s">
        <v>85</v>
      </c>
      <c r="D320" s="1" t="str">
        <f t="shared" si="11"/>
        <v xml:space="preserve">059-354-1771  </v>
      </c>
      <c r="E320" s="1" t="s">
        <v>6</v>
      </c>
    </row>
    <row r="321" spans="1:5" x14ac:dyDescent="0.55000000000000004">
      <c r="A321" s="1" t="s">
        <v>1478</v>
      </c>
      <c r="B321" s="1" t="s">
        <v>84</v>
      </c>
      <c r="C321" s="1" t="s">
        <v>85</v>
      </c>
      <c r="D321" s="1" t="str">
        <f t="shared" si="11"/>
        <v xml:space="preserve">059-354-1771  </v>
      </c>
      <c r="E321" s="1" t="s">
        <v>35</v>
      </c>
    </row>
    <row r="322" spans="1:5" x14ac:dyDescent="0.55000000000000004">
      <c r="A322" s="1" t="s">
        <v>1512</v>
      </c>
      <c r="B322" s="1" t="s">
        <v>84</v>
      </c>
      <c r="C322" s="1" t="s">
        <v>85</v>
      </c>
      <c r="D322" s="1" t="str">
        <f t="shared" si="11"/>
        <v xml:space="preserve">059-354-1771  </v>
      </c>
      <c r="E322" s="1" t="s">
        <v>111</v>
      </c>
    </row>
    <row r="323" spans="1:5" x14ac:dyDescent="0.55000000000000004">
      <c r="A323" s="1" t="s">
        <v>1535</v>
      </c>
      <c r="B323" s="1" t="s">
        <v>84</v>
      </c>
      <c r="C323" s="1" t="s">
        <v>85</v>
      </c>
      <c r="D323" s="1" t="str">
        <f t="shared" si="11"/>
        <v xml:space="preserve">059-354-1771  </v>
      </c>
      <c r="E323" s="1" t="s">
        <v>233</v>
      </c>
    </row>
    <row r="324" spans="1:5" x14ac:dyDescent="0.55000000000000004">
      <c r="A324" s="1" t="s">
        <v>501</v>
      </c>
      <c r="B324" s="1" t="s">
        <v>502</v>
      </c>
      <c r="C324" s="1" t="s">
        <v>503</v>
      </c>
      <c r="D324" s="1" t="str">
        <f>"059-321-0080  "</f>
        <v xml:space="preserve">059-321-0080  </v>
      </c>
      <c r="E324" s="1" t="s">
        <v>504</v>
      </c>
    </row>
    <row r="325" spans="1:5" x14ac:dyDescent="0.55000000000000004">
      <c r="A325" s="1" t="s">
        <v>347</v>
      </c>
      <c r="B325" s="1" t="s">
        <v>348</v>
      </c>
      <c r="C325" s="1" t="s">
        <v>349</v>
      </c>
      <c r="D325" s="1" t="str">
        <f>"059-326-1151  "</f>
        <v xml:space="preserve">059-326-1151  </v>
      </c>
      <c r="E325" s="1" t="s">
        <v>239</v>
      </c>
    </row>
    <row r="326" spans="1:5" x14ac:dyDescent="0.55000000000000004">
      <c r="A326" s="1" t="s">
        <v>1805</v>
      </c>
      <c r="B326" s="1" t="s">
        <v>348</v>
      </c>
      <c r="C326" s="1" t="s">
        <v>349</v>
      </c>
      <c r="D326" s="1" t="str">
        <f>"059-326-1151  "</f>
        <v xml:space="preserve">059-326-1151  </v>
      </c>
      <c r="E326" s="1" t="s">
        <v>23</v>
      </c>
    </row>
    <row r="327" spans="1:5" x14ac:dyDescent="0.55000000000000004">
      <c r="A327" s="1" t="s">
        <v>156</v>
      </c>
      <c r="B327" s="1" t="s">
        <v>157</v>
      </c>
      <c r="C327" s="1" t="str">
        <f>"四日市市東坂部町86-1"</f>
        <v>四日市市東坂部町86-1</v>
      </c>
      <c r="D327" s="1" t="str">
        <f>"059-331-6121  "</f>
        <v xml:space="preserve">059-331-6121  </v>
      </c>
      <c r="E327" s="1" t="s">
        <v>51</v>
      </c>
    </row>
    <row r="328" spans="1:5" x14ac:dyDescent="0.55000000000000004">
      <c r="A328" s="1" t="s">
        <v>2856</v>
      </c>
      <c r="B328" s="1" t="s">
        <v>38</v>
      </c>
      <c r="C328" s="1" t="str">
        <f>"四日市市下海老町163-1"</f>
        <v>四日市市下海老町163-1</v>
      </c>
      <c r="D328" s="1" t="str">
        <f>"059-326-6333  "</f>
        <v xml:space="preserve">059-326-6333  </v>
      </c>
      <c r="E328" s="1" t="s">
        <v>6</v>
      </c>
    </row>
    <row r="329" spans="1:5" x14ac:dyDescent="0.55000000000000004">
      <c r="A329" s="1" t="s">
        <v>1839</v>
      </c>
      <c r="B329" s="1" t="s">
        <v>1840</v>
      </c>
      <c r="C329" s="1" t="str">
        <f>"四日市市中部12-5"</f>
        <v>四日市市中部12-5</v>
      </c>
      <c r="D329" s="1" t="str">
        <f>"059-352-3604  "</f>
        <v xml:space="preserve">059-352-3604  </v>
      </c>
      <c r="E329" s="1" t="s">
        <v>6</v>
      </c>
    </row>
    <row r="330" spans="1:5" x14ac:dyDescent="0.55000000000000004">
      <c r="A330" s="1" t="s">
        <v>1978</v>
      </c>
      <c r="B330" s="1" t="s">
        <v>1979</v>
      </c>
      <c r="C330" s="1" t="str">
        <f>"四日市市生桑町1642-91"</f>
        <v>四日市市生桑町1642-91</v>
      </c>
      <c r="D330" s="1" t="str">
        <f>"059-332-6789  "</f>
        <v xml:space="preserve">059-332-6789  </v>
      </c>
      <c r="E330" s="1" t="s">
        <v>6</v>
      </c>
    </row>
    <row r="331" spans="1:5" x14ac:dyDescent="0.55000000000000004">
      <c r="A331" s="1" t="s">
        <v>3048</v>
      </c>
      <c r="B331" s="1" t="s">
        <v>68</v>
      </c>
      <c r="C331" s="1" t="str">
        <f>"四日市市久保田2丁目1-2"</f>
        <v>四日市市久保田2丁目1-2</v>
      </c>
      <c r="D331" s="1" t="str">
        <f>"059-355-2980  "</f>
        <v xml:space="preserve">059-355-2980  </v>
      </c>
      <c r="E331" s="1" t="s">
        <v>35</v>
      </c>
    </row>
    <row r="332" spans="1:5" x14ac:dyDescent="0.55000000000000004">
      <c r="A332" s="1" t="s">
        <v>1941</v>
      </c>
      <c r="B332" s="1" t="s">
        <v>1942</v>
      </c>
      <c r="C332" s="1" t="str">
        <f>"四日市市高角町1556-1"</f>
        <v>四日市市高角町1556-1</v>
      </c>
      <c r="D332" s="1" t="str">
        <f>"059-325-4146  "</f>
        <v xml:space="preserve">059-325-4146  </v>
      </c>
      <c r="E332" s="1" t="s">
        <v>34</v>
      </c>
    </row>
    <row r="333" spans="1:5" x14ac:dyDescent="0.55000000000000004">
      <c r="A333" s="1" t="s">
        <v>2285</v>
      </c>
      <c r="B333" s="1" t="s">
        <v>1942</v>
      </c>
      <c r="C333" s="1" t="str">
        <f>"四日市市高角町1556-1"</f>
        <v>四日市市高角町1556-1</v>
      </c>
      <c r="D333" s="1" t="str">
        <f>"059-325-4146  "</f>
        <v xml:space="preserve">059-325-4146  </v>
      </c>
      <c r="E333" s="1" t="s">
        <v>34</v>
      </c>
    </row>
    <row r="334" spans="1:5" x14ac:dyDescent="0.55000000000000004">
      <c r="A334" s="1" t="s">
        <v>553</v>
      </c>
      <c r="B334" s="1" t="s">
        <v>554</v>
      </c>
      <c r="C334" s="1" t="s">
        <v>555</v>
      </c>
      <c r="D334" s="1" t="str">
        <f>"059-334-8110  "</f>
        <v xml:space="preserve">059-334-8110  </v>
      </c>
      <c r="E334" s="1" t="s">
        <v>34</v>
      </c>
    </row>
    <row r="335" spans="1:5" x14ac:dyDescent="0.55000000000000004">
      <c r="A335" s="1" t="s">
        <v>737</v>
      </c>
      <c r="B335" s="1" t="s">
        <v>554</v>
      </c>
      <c r="C335" s="1" t="s">
        <v>555</v>
      </c>
      <c r="D335" s="1" t="str">
        <f>"059-334-8110  "</f>
        <v xml:space="preserve">059-334-8110  </v>
      </c>
      <c r="E335" s="1" t="s">
        <v>34</v>
      </c>
    </row>
    <row r="336" spans="1:5" x14ac:dyDescent="0.55000000000000004">
      <c r="A336" s="1" t="s">
        <v>2656</v>
      </c>
      <c r="B336" s="1" t="s">
        <v>32</v>
      </c>
      <c r="C336" s="1" t="str">
        <f>"四日市市城山町1-11"</f>
        <v>四日市市城山町1-11</v>
      </c>
      <c r="D336" s="1" t="str">
        <f>"059-330-5555  "</f>
        <v xml:space="preserve">059-330-5555  </v>
      </c>
      <c r="E336" s="1" t="s">
        <v>6</v>
      </c>
    </row>
    <row r="337" spans="1:5" x14ac:dyDescent="0.55000000000000004">
      <c r="A337" s="1" t="s">
        <v>2852</v>
      </c>
      <c r="B337" s="1" t="s">
        <v>2853</v>
      </c>
      <c r="C337" s="1" t="s">
        <v>2854</v>
      </c>
      <c r="D337" s="1" t="str">
        <f>"059-331-3918  "</f>
        <v xml:space="preserve">059-331-3918  </v>
      </c>
      <c r="E337" s="1" t="s">
        <v>2855</v>
      </c>
    </row>
    <row r="338" spans="1:5" x14ac:dyDescent="0.55000000000000004">
      <c r="A338" s="1" t="s">
        <v>2704</v>
      </c>
      <c r="B338" s="1" t="s">
        <v>40</v>
      </c>
      <c r="C338" s="1" t="s">
        <v>2705</v>
      </c>
      <c r="D338" s="1" t="str">
        <f>"059-330-4600  "</f>
        <v xml:space="preserve">059-330-4600  </v>
      </c>
      <c r="E338" s="1" t="s">
        <v>6</v>
      </c>
    </row>
    <row r="339" spans="1:5" x14ac:dyDescent="0.55000000000000004">
      <c r="A339" s="1" t="s">
        <v>2199</v>
      </c>
      <c r="B339" s="1" t="s">
        <v>2200</v>
      </c>
      <c r="C339" s="1" t="str">
        <f>"四日市市諏訪栄町6-3　愛汗ビル４階"</f>
        <v>四日市市諏訪栄町6-3　愛汗ビル４階</v>
      </c>
      <c r="D339" s="1" t="str">
        <f>"059-351-9974  "</f>
        <v xml:space="preserve">059-351-9974  </v>
      </c>
      <c r="E339" s="1" t="s">
        <v>34</v>
      </c>
    </row>
    <row r="340" spans="1:5" x14ac:dyDescent="0.55000000000000004">
      <c r="A340" s="1" t="s">
        <v>2751</v>
      </c>
      <c r="B340" s="1" t="s">
        <v>2752</v>
      </c>
      <c r="C340" s="1" t="s">
        <v>2753</v>
      </c>
      <c r="D340" s="1" t="str">
        <f>"059-322-9538  "</f>
        <v xml:space="preserve">059-322-9538  </v>
      </c>
      <c r="E340" s="1" t="s">
        <v>6</v>
      </c>
    </row>
    <row r="341" spans="1:5" x14ac:dyDescent="0.55000000000000004">
      <c r="A341" s="1" t="s">
        <v>747</v>
      </c>
      <c r="B341" s="1" t="s">
        <v>748</v>
      </c>
      <c r="C341" s="1" t="s">
        <v>749</v>
      </c>
      <c r="D341" s="1" t="str">
        <f>"059-325-3377  "</f>
        <v xml:space="preserve">059-325-3377  </v>
      </c>
      <c r="E341" s="1" t="s">
        <v>34</v>
      </c>
    </row>
    <row r="342" spans="1:5" x14ac:dyDescent="0.55000000000000004">
      <c r="A342" s="1" t="s">
        <v>1487</v>
      </c>
      <c r="B342" s="1" t="s">
        <v>1488</v>
      </c>
      <c r="C342" s="1" t="s">
        <v>1489</v>
      </c>
      <c r="D342" s="1" t="str">
        <f>"059-326-1181  "</f>
        <v xml:space="preserve">059-326-1181  </v>
      </c>
      <c r="E342" s="1" t="s">
        <v>1374</v>
      </c>
    </row>
    <row r="343" spans="1:5" x14ac:dyDescent="0.55000000000000004">
      <c r="A343" s="1" t="s">
        <v>2325</v>
      </c>
      <c r="B343" s="1" t="s">
        <v>2326</v>
      </c>
      <c r="C343" s="1" t="s">
        <v>3082</v>
      </c>
      <c r="D343" s="1" t="str">
        <f>"059-336-6000  "</f>
        <v xml:space="preserve">059-336-6000  </v>
      </c>
      <c r="E343" s="1" t="s">
        <v>2327</v>
      </c>
    </row>
    <row r="344" spans="1:5" x14ac:dyDescent="0.55000000000000004">
      <c r="A344" s="1" t="s">
        <v>2669</v>
      </c>
      <c r="B344" s="1" t="s">
        <v>2670</v>
      </c>
      <c r="C344" s="1" t="str">
        <f>"四日市市西浦一丁目4番22-1号"</f>
        <v>四日市市西浦一丁目4番22-1号</v>
      </c>
      <c r="D344" s="1" t="str">
        <f>"059-358-0921  "</f>
        <v xml:space="preserve">059-358-0921  </v>
      </c>
      <c r="E344" s="1" t="s">
        <v>7</v>
      </c>
    </row>
    <row r="345" spans="1:5" x14ac:dyDescent="0.55000000000000004">
      <c r="A345" s="1" t="s">
        <v>2064</v>
      </c>
      <c r="B345" s="1" t="s">
        <v>2065</v>
      </c>
      <c r="C345" s="1" t="str">
        <f>"四日市市高角町1563-10"</f>
        <v>四日市市高角町1563-10</v>
      </c>
      <c r="D345" s="1" t="str">
        <f>"059-326-1112  "</f>
        <v xml:space="preserve">059-326-1112  </v>
      </c>
      <c r="E345" s="1" t="s">
        <v>10</v>
      </c>
    </row>
    <row r="346" spans="1:5" x14ac:dyDescent="0.55000000000000004">
      <c r="A346" s="1" t="s">
        <v>1667</v>
      </c>
      <c r="B346" s="1" t="s">
        <v>1668</v>
      </c>
      <c r="C346" s="1" t="str">
        <f>"四日市市波木町801-1"</f>
        <v>四日市市波木町801-1</v>
      </c>
      <c r="D346" s="1" t="str">
        <f>"059-323-1500  "</f>
        <v xml:space="preserve">059-323-1500  </v>
      </c>
      <c r="E346" s="1" t="s">
        <v>34</v>
      </c>
    </row>
    <row r="347" spans="1:5" x14ac:dyDescent="0.55000000000000004">
      <c r="A347" s="1" t="s">
        <v>1765</v>
      </c>
      <c r="B347" s="1" t="s">
        <v>1766</v>
      </c>
      <c r="C347" s="1" t="s">
        <v>1767</v>
      </c>
      <c r="D347" s="1" t="str">
        <f>"059-333-8080  "</f>
        <v xml:space="preserve">059-333-8080  </v>
      </c>
      <c r="E347" s="1" t="s">
        <v>1768</v>
      </c>
    </row>
    <row r="348" spans="1:5" x14ac:dyDescent="0.55000000000000004">
      <c r="A348" s="1" t="s">
        <v>1722</v>
      </c>
      <c r="B348" s="1" t="s">
        <v>1723</v>
      </c>
      <c r="C348" s="1" t="str">
        <f>"四日市市新正4-3-19"</f>
        <v>四日市市新正4-3-19</v>
      </c>
      <c r="D348" s="1" t="str">
        <f>"059-354-3322  "</f>
        <v xml:space="preserve">059-354-3322  </v>
      </c>
      <c r="E348" s="1" t="s">
        <v>14</v>
      </c>
    </row>
    <row r="349" spans="1:5" x14ac:dyDescent="0.55000000000000004">
      <c r="A349" s="1" t="s">
        <v>2345</v>
      </c>
      <c r="B349" s="1" t="s">
        <v>1477</v>
      </c>
      <c r="C349" s="1" t="str">
        <f t="shared" ref="C349:C390" si="12">"四日市市芝田二丁目2-37"</f>
        <v>四日市市芝田二丁目2-37</v>
      </c>
      <c r="D349" s="1" t="str">
        <f t="shared" ref="D349:D390" si="13">"059-354-1111  "</f>
        <v xml:space="preserve">059-354-1111  </v>
      </c>
      <c r="E349" s="1" t="s">
        <v>35</v>
      </c>
    </row>
    <row r="350" spans="1:5" x14ac:dyDescent="0.55000000000000004">
      <c r="A350" s="1" t="s">
        <v>2355</v>
      </c>
      <c r="B350" s="1" t="s">
        <v>1477</v>
      </c>
      <c r="C350" s="1" t="str">
        <f t="shared" si="12"/>
        <v>四日市市芝田二丁目2-37</v>
      </c>
      <c r="D350" s="1" t="str">
        <f t="shared" si="13"/>
        <v xml:space="preserve">059-354-1111  </v>
      </c>
      <c r="E350" s="1" t="s">
        <v>123</v>
      </c>
    </row>
    <row r="351" spans="1:5" x14ac:dyDescent="0.55000000000000004">
      <c r="A351" s="1" t="s">
        <v>2356</v>
      </c>
      <c r="B351" s="1" t="s">
        <v>1477</v>
      </c>
      <c r="C351" s="1" t="str">
        <f t="shared" si="12"/>
        <v>四日市市芝田二丁目2-37</v>
      </c>
      <c r="D351" s="1" t="str">
        <f t="shared" si="13"/>
        <v xml:space="preserve">059-354-1111  </v>
      </c>
      <c r="E351" s="1" t="s">
        <v>123</v>
      </c>
    </row>
    <row r="352" spans="1:5" x14ac:dyDescent="0.55000000000000004">
      <c r="A352" s="1" t="s">
        <v>2357</v>
      </c>
      <c r="B352" s="1" t="s">
        <v>1477</v>
      </c>
      <c r="C352" s="1" t="str">
        <f t="shared" si="12"/>
        <v>四日市市芝田二丁目2-37</v>
      </c>
      <c r="D352" s="1" t="str">
        <f t="shared" si="13"/>
        <v xml:space="preserve">059-354-1111  </v>
      </c>
      <c r="E352" s="1" t="s">
        <v>135</v>
      </c>
    </row>
    <row r="353" spans="1:5" x14ac:dyDescent="0.55000000000000004">
      <c r="A353" s="1" t="s">
        <v>2404</v>
      </c>
      <c r="B353" s="1" t="s">
        <v>1477</v>
      </c>
      <c r="C353" s="1" t="str">
        <f t="shared" si="12"/>
        <v>四日市市芝田二丁目2-37</v>
      </c>
      <c r="D353" s="1" t="str">
        <f t="shared" si="13"/>
        <v xml:space="preserve">059-354-1111  </v>
      </c>
      <c r="E353" s="1" t="s">
        <v>23</v>
      </c>
    </row>
    <row r="354" spans="1:5" x14ac:dyDescent="0.55000000000000004">
      <c r="A354" s="1" t="s">
        <v>2635</v>
      </c>
      <c r="B354" s="1" t="s">
        <v>1477</v>
      </c>
      <c r="C354" s="1" t="str">
        <f t="shared" si="12"/>
        <v>四日市市芝田二丁目2-37</v>
      </c>
      <c r="D354" s="1" t="str">
        <f t="shared" si="13"/>
        <v xml:space="preserve">059-354-1111  </v>
      </c>
      <c r="E354" s="1" t="s">
        <v>111</v>
      </c>
    </row>
    <row r="355" spans="1:5" x14ac:dyDescent="0.55000000000000004">
      <c r="A355" s="1" t="s">
        <v>2271</v>
      </c>
      <c r="B355" s="1" t="s">
        <v>1477</v>
      </c>
      <c r="C355" s="1" t="str">
        <f t="shared" si="12"/>
        <v>四日市市芝田二丁目2-37</v>
      </c>
      <c r="D355" s="1" t="str">
        <f t="shared" si="13"/>
        <v xml:space="preserve">059-354-1111  </v>
      </c>
      <c r="E355" s="1" t="s">
        <v>2272</v>
      </c>
    </row>
    <row r="356" spans="1:5" x14ac:dyDescent="0.55000000000000004">
      <c r="A356" s="1" t="s">
        <v>2280</v>
      </c>
      <c r="B356" s="1" t="s">
        <v>1477</v>
      </c>
      <c r="C356" s="1" t="str">
        <f t="shared" si="12"/>
        <v>四日市市芝田二丁目2-37</v>
      </c>
      <c r="D356" s="1" t="str">
        <f t="shared" si="13"/>
        <v xml:space="preserve">059-354-1111  </v>
      </c>
      <c r="E356" s="1" t="s">
        <v>981</v>
      </c>
    </row>
    <row r="357" spans="1:5" x14ac:dyDescent="0.55000000000000004">
      <c r="A357" s="1" t="s">
        <v>2305</v>
      </c>
      <c r="B357" s="1" t="s">
        <v>1477</v>
      </c>
      <c r="C357" s="1" t="str">
        <f t="shared" si="12"/>
        <v>四日市市芝田二丁目2-37</v>
      </c>
      <c r="D357" s="1" t="str">
        <f t="shared" si="13"/>
        <v xml:space="preserve">059-354-1111  </v>
      </c>
      <c r="E357" s="1" t="s">
        <v>35</v>
      </c>
    </row>
    <row r="358" spans="1:5" x14ac:dyDescent="0.55000000000000004">
      <c r="A358" s="1" t="s">
        <v>2321</v>
      </c>
      <c r="B358" s="1" t="s">
        <v>1477</v>
      </c>
      <c r="C358" s="1" t="str">
        <f t="shared" si="12"/>
        <v>四日市市芝田二丁目2-37</v>
      </c>
      <c r="D358" s="1" t="str">
        <f t="shared" si="13"/>
        <v xml:space="preserve">059-354-1111  </v>
      </c>
      <c r="E358" s="1" t="s">
        <v>216</v>
      </c>
    </row>
    <row r="359" spans="1:5" x14ac:dyDescent="0.55000000000000004">
      <c r="A359" s="1" t="s">
        <v>2346</v>
      </c>
      <c r="B359" s="1" t="s">
        <v>1477</v>
      </c>
      <c r="C359" s="1" t="str">
        <f t="shared" si="12"/>
        <v>四日市市芝田二丁目2-37</v>
      </c>
      <c r="D359" s="1" t="str">
        <f t="shared" si="13"/>
        <v xml:space="preserve">059-354-1111  </v>
      </c>
      <c r="E359" s="1" t="s">
        <v>111</v>
      </c>
    </row>
    <row r="360" spans="1:5" x14ac:dyDescent="0.55000000000000004">
      <c r="A360" s="1" t="s">
        <v>2926</v>
      </c>
      <c r="B360" s="1" t="s">
        <v>1477</v>
      </c>
      <c r="C360" s="1" t="str">
        <f t="shared" si="12"/>
        <v>四日市市芝田二丁目2-37</v>
      </c>
      <c r="D360" s="1" t="str">
        <f t="shared" si="13"/>
        <v xml:space="preserve">059-354-1111  </v>
      </c>
      <c r="E360" s="1" t="s">
        <v>10</v>
      </c>
    </row>
    <row r="361" spans="1:5" x14ac:dyDescent="0.55000000000000004">
      <c r="A361" s="1" t="s">
        <v>2021</v>
      </c>
      <c r="B361" s="1" t="s">
        <v>1477</v>
      </c>
      <c r="C361" s="1" t="str">
        <f t="shared" si="12"/>
        <v>四日市市芝田二丁目2-37</v>
      </c>
      <c r="D361" s="1" t="str">
        <f t="shared" si="13"/>
        <v xml:space="preserve">059-354-1111  </v>
      </c>
      <c r="E361" s="1" t="s">
        <v>131</v>
      </c>
    </row>
    <row r="362" spans="1:5" x14ac:dyDescent="0.55000000000000004">
      <c r="A362" s="1" t="s">
        <v>2022</v>
      </c>
      <c r="B362" s="1" t="s">
        <v>1477</v>
      </c>
      <c r="C362" s="1" t="str">
        <f t="shared" si="12"/>
        <v>四日市市芝田二丁目2-37</v>
      </c>
      <c r="D362" s="1" t="str">
        <f t="shared" si="13"/>
        <v xml:space="preserve">059-354-1111  </v>
      </c>
      <c r="E362" s="1" t="s">
        <v>23</v>
      </c>
    </row>
    <row r="363" spans="1:5" x14ac:dyDescent="0.55000000000000004">
      <c r="A363" s="1" t="s">
        <v>2440</v>
      </c>
      <c r="B363" s="1" t="s">
        <v>1477</v>
      </c>
      <c r="C363" s="1" t="str">
        <f t="shared" si="12"/>
        <v>四日市市芝田二丁目2-37</v>
      </c>
      <c r="D363" s="1" t="str">
        <f t="shared" si="13"/>
        <v xml:space="preserve">059-354-1111  </v>
      </c>
      <c r="E363" s="1" t="s">
        <v>14</v>
      </c>
    </row>
    <row r="364" spans="1:5" x14ac:dyDescent="0.55000000000000004">
      <c r="A364" s="1" t="s">
        <v>2471</v>
      </c>
      <c r="B364" s="1" t="s">
        <v>1477</v>
      </c>
      <c r="C364" s="1" t="str">
        <f t="shared" si="12"/>
        <v>四日市市芝田二丁目2-37</v>
      </c>
      <c r="D364" s="1" t="str">
        <f t="shared" si="13"/>
        <v xml:space="preserve">059-354-1111  </v>
      </c>
      <c r="E364" s="1" t="s">
        <v>131</v>
      </c>
    </row>
    <row r="365" spans="1:5" x14ac:dyDescent="0.55000000000000004">
      <c r="A365" s="1" t="s">
        <v>2491</v>
      </c>
      <c r="B365" s="1" t="s">
        <v>1477</v>
      </c>
      <c r="C365" s="1" t="str">
        <f t="shared" si="12"/>
        <v>四日市市芝田二丁目2-37</v>
      </c>
      <c r="D365" s="1" t="str">
        <f t="shared" si="13"/>
        <v xml:space="preserve">059-354-1111  </v>
      </c>
      <c r="E365" s="1" t="s">
        <v>106</v>
      </c>
    </row>
    <row r="366" spans="1:5" x14ac:dyDescent="0.55000000000000004">
      <c r="A366" s="1" t="s">
        <v>2492</v>
      </c>
      <c r="B366" s="1" t="s">
        <v>1477</v>
      </c>
      <c r="C366" s="1" t="str">
        <f t="shared" si="12"/>
        <v>四日市市芝田二丁目2-37</v>
      </c>
      <c r="D366" s="1" t="str">
        <f t="shared" si="13"/>
        <v xml:space="preserve">059-354-1111  </v>
      </c>
      <c r="E366" s="1" t="s">
        <v>106</v>
      </c>
    </row>
    <row r="367" spans="1:5" x14ac:dyDescent="0.55000000000000004">
      <c r="A367" s="1" t="s">
        <v>2513</v>
      </c>
      <c r="B367" s="1" t="s">
        <v>1477</v>
      </c>
      <c r="C367" s="1" t="str">
        <f t="shared" si="12"/>
        <v>四日市市芝田二丁目2-37</v>
      </c>
      <c r="D367" s="1" t="str">
        <f t="shared" si="13"/>
        <v xml:space="preserve">059-354-1111  </v>
      </c>
      <c r="E367" s="1" t="s">
        <v>131</v>
      </c>
    </row>
    <row r="368" spans="1:5" x14ac:dyDescent="0.55000000000000004">
      <c r="A368" s="1" t="s">
        <v>1476</v>
      </c>
      <c r="B368" s="1" t="s">
        <v>1477</v>
      </c>
      <c r="C368" s="1" t="str">
        <f t="shared" si="12"/>
        <v>四日市市芝田二丁目2-37</v>
      </c>
      <c r="D368" s="1" t="str">
        <f t="shared" si="13"/>
        <v xml:space="preserve">059-354-1111  </v>
      </c>
      <c r="E368" s="1" t="s">
        <v>81</v>
      </c>
    </row>
    <row r="369" spans="1:5" x14ac:dyDescent="0.55000000000000004">
      <c r="A369" s="1" t="s">
        <v>1480</v>
      </c>
      <c r="B369" s="1" t="s">
        <v>1477</v>
      </c>
      <c r="C369" s="1" t="str">
        <f t="shared" si="12"/>
        <v>四日市市芝田二丁目2-37</v>
      </c>
      <c r="D369" s="1" t="str">
        <f t="shared" si="13"/>
        <v xml:space="preserve">059-354-1111  </v>
      </c>
      <c r="E369" s="1" t="s">
        <v>111</v>
      </c>
    </row>
    <row r="370" spans="1:5" x14ac:dyDescent="0.55000000000000004">
      <c r="A370" s="1" t="s">
        <v>1481</v>
      </c>
      <c r="B370" s="1" t="s">
        <v>1477</v>
      </c>
      <c r="C370" s="1" t="str">
        <f t="shared" si="12"/>
        <v>四日市市芝田二丁目2-37</v>
      </c>
      <c r="D370" s="1" t="str">
        <f t="shared" si="13"/>
        <v xml:space="preserve">059-354-1111  </v>
      </c>
      <c r="E370" s="1" t="s">
        <v>135</v>
      </c>
    </row>
    <row r="371" spans="1:5" x14ac:dyDescent="0.55000000000000004">
      <c r="A371" s="1" t="s">
        <v>1482</v>
      </c>
      <c r="B371" s="1" t="s">
        <v>1477</v>
      </c>
      <c r="C371" s="1" t="str">
        <f t="shared" si="12"/>
        <v>四日市市芝田二丁目2-37</v>
      </c>
      <c r="D371" s="1" t="str">
        <f t="shared" si="13"/>
        <v xml:space="preserve">059-354-1111  </v>
      </c>
      <c r="E371" s="1" t="s">
        <v>106</v>
      </c>
    </row>
    <row r="372" spans="1:5" x14ac:dyDescent="0.55000000000000004">
      <c r="A372" s="1" t="s">
        <v>1483</v>
      </c>
      <c r="B372" s="1" t="s">
        <v>1477</v>
      </c>
      <c r="C372" s="1" t="str">
        <f t="shared" si="12"/>
        <v>四日市市芝田二丁目2-37</v>
      </c>
      <c r="D372" s="1" t="str">
        <f t="shared" si="13"/>
        <v xml:space="preserve">059-354-1111  </v>
      </c>
      <c r="E372" s="1" t="s">
        <v>725</v>
      </c>
    </row>
    <row r="373" spans="1:5" x14ac:dyDescent="0.55000000000000004">
      <c r="A373" s="1" t="s">
        <v>1484</v>
      </c>
      <c r="B373" s="1" t="s">
        <v>1477</v>
      </c>
      <c r="C373" s="1" t="str">
        <f t="shared" si="12"/>
        <v>四日市市芝田二丁目2-37</v>
      </c>
      <c r="D373" s="1" t="str">
        <f t="shared" si="13"/>
        <v xml:space="preserve">059-354-1111  </v>
      </c>
      <c r="E373" s="1" t="s">
        <v>216</v>
      </c>
    </row>
    <row r="374" spans="1:5" x14ac:dyDescent="0.55000000000000004">
      <c r="A374" s="1" t="s">
        <v>1485</v>
      </c>
      <c r="B374" s="1" t="s">
        <v>1477</v>
      </c>
      <c r="C374" s="1" t="str">
        <f t="shared" si="12"/>
        <v>四日市市芝田二丁目2-37</v>
      </c>
      <c r="D374" s="1" t="str">
        <f t="shared" si="13"/>
        <v xml:space="preserve">059-354-1111  </v>
      </c>
      <c r="E374" s="1" t="s">
        <v>233</v>
      </c>
    </row>
    <row r="375" spans="1:5" x14ac:dyDescent="0.55000000000000004">
      <c r="A375" s="1" t="s">
        <v>1486</v>
      </c>
      <c r="B375" s="1" t="s">
        <v>1477</v>
      </c>
      <c r="C375" s="1" t="str">
        <f t="shared" si="12"/>
        <v>四日市市芝田二丁目2-37</v>
      </c>
      <c r="D375" s="1" t="str">
        <f t="shared" si="13"/>
        <v xml:space="preserve">059-354-1111  </v>
      </c>
      <c r="E375" s="1" t="s">
        <v>135</v>
      </c>
    </row>
    <row r="376" spans="1:5" x14ac:dyDescent="0.55000000000000004">
      <c r="A376" s="1" t="s">
        <v>1490</v>
      </c>
      <c r="B376" s="1" t="s">
        <v>1477</v>
      </c>
      <c r="C376" s="1" t="str">
        <f t="shared" si="12"/>
        <v>四日市市芝田二丁目2-37</v>
      </c>
      <c r="D376" s="1" t="str">
        <f t="shared" si="13"/>
        <v xml:space="preserve">059-354-1111  </v>
      </c>
      <c r="E376" s="1" t="s">
        <v>131</v>
      </c>
    </row>
    <row r="377" spans="1:5" x14ac:dyDescent="0.55000000000000004">
      <c r="A377" s="1" t="s">
        <v>1491</v>
      </c>
      <c r="B377" s="1" t="s">
        <v>1477</v>
      </c>
      <c r="C377" s="1" t="str">
        <f t="shared" si="12"/>
        <v>四日市市芝田二丁目2-37</v>
      </c>
      <c r="D377" s="1" t="str">
        <f t="shared" si="13"/>
        <v xml:space="preserve">059-354-1111  </v>
      </c>
      <c r="E377" s="1" t="s">
        <v>981</v>
      </c>
    </row>
    <row r="378" spans="1:5" x14ac:dyDescent="0.55000000000000004">
      <c r="A378" s="1" t="s">
        <v>1493</v>
      </c>
      <c r="B378" s="1" t="s">
        <v>1477</v>
      </c>
      <c r="C378" s="1" t="str">
        <f t="shared" si="12"/>
        <v>四日市市芝田二丁目2-37</v>
      </c>
      <c r="D378" s="1" t="str">
        <f t="shared" si="13"/>
        <v xml:space="preserve">059-354-1111  </v>
      </c>
      <c r="E378" s="1" t="s">
        <v>107</v>
      </c>
    </row>
    <row r="379" spans="1:5" x14ac:dyDescent="0.55000000000000004">
      <c r="A379" s="1" t="s">
        <v>1494</v>
      </c>
      <c r="B379" s="1" t="s">
        <v>1477</v>
      </c>
      <c r="C379" s="1" t="str">
        <f t="shared" si="12"/>
        <v>四日市市芝田二丁目2-37</v>
      </c>
      <c r="D379" s="1" t="str">
        <f t="shared" si="13"/>
        <v xml:space="preserve">059-354-1111  </v>
      </c>
      <c r="E379" s="1" t="s">
        <v>14</v>
      </c>
    </row>
    <row r="380" spans="1:5" x14ac:dyDescent="0.55000000000000004">
      <c r="A380" s="1" t="s">
        <v>1495</v>
      </c>
      <c r="B380" s="1" t="s">
        <v>1477</v>
      </c>
      <c r="C380" s="1" t="str">
        <f t="shared" si="12"/>
        <v>四日市市芝田二丁目2-37</v>
      </c>
      <c r="D380" s="1" t="str">
        <f t="shared" si="13"/>
        <v xml:space="preserve">059-354-1111  </v>
      </c>
      <c r="E380" s="1" t="s">
        <v>129</v>
      </c>
    </row>
    <row r="381" spans="1:5" x14ac:dyDescent="0.55000000000000004">
      <c r="A381" s="1" t="s">
        <v>1500</v>
      </c>
      <c r="B381" s="1" t="s">
        <v>1477</v>
      </c>
      <c r="C381" s="1" t="str">
        <f t="shared" si="12"/>
        <v>四日市市芝田二丁目2-37</v>
      </c>
      <c r="D381" s="1" t="str">
        <f t="shared" si="13"/>
        <v xml:space="preserve">059-354-1111  </v>
      </c>
      <c r="E381" s="1" t="s">
        <v>35</v>
      </c>
    </row>
    <row r="382" spans="1:5" x14ac:dyDescent="0.55000000000000004">
      <c r="A382" s="1" t="s">
        <v>1511</v>
      </c>
      <c r="B382" s="1" t="s">
        <v>1477</v>
      </c>
      <c r="C382" s="1" t="str">
        <f t="shared" si="12"/>
        <v>四日市市芝田二丁目2-37</v>
      </c>
      <c r="D382" s="1" t="str">
        <f t="shared" si="13"/>
        <v xml:space="preserve">059-354-1111  </v>
      </c>
      <c r="E382" s="1" t="s">
        <v>111</v>
      </c>
    </row>
    <row r="383" spans="1:5" x14ac:dyDescent="0.55000000000000004">
      <c r="A383" s="1" t="s">
        <v>1603</v>
      </c>
      <c r="B383" s="1" t="s">
        <v>1477</v>
      </c>
      <c r="C383" s="1" t="str">
        <f t="shared" si="12"/>
        <v>四日市市芝田二丁目2-37</v>
      </c>
      <c r="D383" s="1" t="str">
        <f t="shared" si="13"/>
        <v xml:space="preserve">059-354-1111  </v>
      </c>
      <c r="E383" s="1" t="s">
        <v>81</v>
      </c>
    </row>
    <row r="384" spans="1:5" x14ac:dyDescent="0.55000000000000004">
      <c r="A384" s="1" t="s">
        <v>2180</v>
      </c>
      <c r="B384" s="1" t="s">
        <v>1477</v>
      </c>
      <c r="C384" s="1" t="str">
        <f t="shared" si="12"/>
        <v>四日市市芝田二丁目2-37</v>
      </c>
      <c r="D384" s="1" t="str">
        <f t="shared" si="13"/>
        <v xml:space="preserve">059-354-1111  </v>
      </c>
      <c r="E384" s="1" t="s">
        <v>81</v>
      </c>
    </row>
    <row r="385" spans="1:5" x14ac:dyDescent="0.55000000000000004">
      <c r="A385" s="1" t="s">
        <v>1770</v>
      </c>
      <c r="B385" s="1" t="s">
        <v>1477</v>
      </c>
      <c r="C385" s="1" t="str">
        <f t="shared" si="12"/>
        <v>四日市市芝田二丁目2-37</v>
      </c>
      <c r="D385" s="1" t="str">
        <f t="shared" si="13"/>
        <v xml:space="preserve">059-354-1111  </v>
      </c>
      <c r="E385" s="1" t="s">
        <v>135</v>
      </c>
    </row>
    <row r="386" spans="1:5" x14ac:dyDescent="0.55000000000000004">
      <c r="A386" s="1" t="s">
        <v>2584</v>
      </c>
      <c r="B386" s="1" t="s">
        <v>1477</v>
      </c>
      <c r="C386" s="1" t="str">
        <f t="shared" si="12"/>
        <v>四日市市芝田二丁目2-37</v>
      </c>
      <c r="D386" s="1" t="str">
        <f t="shared" si="13"/>
        <v xml:space="preserve">059-354-1111  </v>
      </c>
      <c r="E386" s="1" t="s">
        <v>111</v>
      </c>
    </row>
    <row r="387" spans="1:5" x14ac:dyDescent="0.55000000000000004">
      <c r="A387" s="1" t="s">
        <v>2650</v>
      </c>
      <c r="B387" s="1" t="s">
        <v>1477</v>
      </c>
      <c r="C387" s="1" t="str">
        <f t="shared" si="12"/>
        <v>四日市市芝田二丁目2-37</v>
      </c>
      <c r="D387" s="1" t="str">
        <f t="shared" si="13"/>
        <v xml:space="preserve">059-354-1111  </v>
      </c>
      <c r="E387" s="1" t="s">
        <v>123</v>
      </c>
    </row>
    <row r="388" spans="1:5" x14ac:dyDescent="0.55000000000000004">
      <c r="A388" s="1" t="s">
        <v>2678</v>
      </c>
      <c r="B388" s="1" t="s">
        <v>1477</v>
      </c>
      <c r="C388" s="1" t="str">
        <f t="shared" si="12"/>
        <v>四日市市芝田二丁目2-37</v>
      </c>
      <c r="D388" s="1" t="str">
        <f t="shared" si="13"/>
        <v xml:space="preserve">059-354-1111  </v>
      </c>
      <c r="E388" s="1" t="s">
        <v>106</v>
      </c>
    </row>
    <row r="389" spans="1:5" x14ac:dyDescent="0.55000000000000004">
      <c r="A389" s="1" t="s">
        <v>1880</v>
      </c>
      <c r="B389" s="1" t="s">
        <v>1477</v>
      </c>
      <c r="C389" s="1" t="str">
        <f t="shared" si="12"/>
        <v>四日市市芝田二丁目2-37</v>
      </c>
      <c r="D389" s="1" t="str">
        <f t="shared" si="13"/>
        <v xml:space="preserve">059-354-1111  </v>
      </c>
      <c r="E389" s="1" t="s">
        <v>22</v>
      </c>
    </row>
    <row r="390" spans="1:5" x14ac:dyDescent="0.55000000000000004">
      <c r="A390" s="1" t="s">
        <v>2697</v>
      </c>
      <c r="B390" s="1" t="s">
        <v>1477</v>
      </c>
      <c r="C390" s="1" t="str">
        <f t="shared" si="12"/>
        <v>四日市市芝田二丁目2-37</v>
      </c>
      <c r="D390" s="1" t="str">
        <f t="shared" si="13"/>
        <v xml:space="preserve">059-354-1111  </v>
      </c>
      <c r="E390" s="1" t="s">
        <v>10</v>
      </c>
    </row>
    <row r="391" spans="1:5" x14ac:dyDescent="0.55000000000000004">
      <c r="A391" s="1" t="s">
        <v>148</v>
      </c>
      <c r="B391" s="1" t="s">
        <v>149</v>
      </c>
      <c r="C391" s="1" t="str">
        <f t="shared" ref="C391:C403" si="14">"四日市市山田町5538-1"</f>
        <v>四日市市山田町5538-1</v>
      </c>
      <c r="D391" s="1" t="str">
        <f t="shared" ref="D391:D403" si="15">"059-328-1260  "</f>
        <v xml:space="preserve">059-328-1260  </v>
      </c>
      <c r="E391" s="1" t="s">
        <v>6</v>
      </c>
    </row>
    <row r="392" spans="1:5" x14ac:dyDescent="0.55000000000000004">
      <c r="A392" s="1" t="s">
        <v>1982</v>
      </c>
      <c r="B392" s="1" t="s">
        <v>149</v>
      </c>
      <c r="C392" s="1" t="str">
        <f t="shared" si="14"/>
        <v>四日市市山田町5538-1</v>
      </c>
      <c r="D392" s="1" t="str">
        <f t="shared" si="15"/>
        <v xml:space="preserve">059-328-1260  </v>
      </c>
      <c r="E392" s="1" t="s">
        <v>10</v>
      </c>
    </row>
    <row r="393" spans="1:5" x14ac:dyDescent="0.55000000000000004">
      <c r="A393" s="1" t="s">
        <v>254</v>
      </c>
      <c r="B393" s="1" t="s">
        <v>149</v>
      </c>
      <c r="C393" s="1" t="str">
        <f t="shared" si="14"/>
        <v>四日市市山田町5538-1</v>
      </c>
      <c r="D393" s="1" t="str">
        <f t="shared" si="15"/>
        <v xml:space="preserve">059-328-1260  </v>
      </c>
      <c r="E393" s="1" t="s">
        <v>131</v>
      </c>
    </row>
    <row r="394" spans="1:5" x14ac:dyDescent="0.55000000000000004">
      <c r="A394" s="1" t="s">
        <v>294</v>
      </c>
      <c r="B394" s="1" t="s">
        <v>149</v>
      </c>
      <c r="C394" s="1" t="str">
        <f t="shared" si="14"/>
        <v>四日市市山田町5538-1</v>
      </c>
      <c r="D394" s="1" t="str">
        <f t="shared" si="15"/>
        <v xml:space="preserve">059-328-1260  </v>
      </c>
      <c r="E394" s="1" t="s">
        <v>131</v>
      </c>
    </row>
    <row r="395" spans="1:5" x14ac:dyDescent="0.55000000000000004">
      <c r="A395" s="1" t="s">
        <v>417</v>
      </c>
      <c r="B395" s="1" t="s">
        <v>149</v>
      </c>
      <c r="C395" s="1" t="str">
        <f t="shared" si="14"/>
        <v>四日市市山田町5538-1</v>
      </c>
      <c r="D395" s="1" t="str">
        <f t="shared" si="15"/>
        <v xml:space="preserve">059-328-1260  </v>
      </c>
      <c r="E395" s="1" t="s">
        <v>6</v>
      </c>
    </row>
    <row r="396" spans="1:5" x14ac:dyDescent="0.55000000000000004">
      <c r="A396" s="1" t="s">
        <v>945</v>
      </c>
      <c r="B396" s="1" t="s">
        <v>149</v>
      </c>
      <c r="C396" s="1" t="str">
        <f t="shared" si="14"/>
        <v>四日市市山田町5538-1</v>
      </c>
      <c r="D396" s="1" t="str">
        <f t="shared" si="15"/>
        <v xml:space="preserve">059-328-1260  </v>
      </c>
      <c r="E396" s="1" t="s">
        <v>946</v>
      </c>
    </row>
    <row r="397" spans="1:5" x14ac:dyDescent="0.55000000000000004">
      <c r="A397" s="1" t="s">
        <v>999</v>
      </c>
      <c r="B397" s="1" t="s">
        <v>149</v>
      </c>
      <c r="C397" s="1" t="str">
        <f t="shared" si="14"/>
        <v>四日市市山田町5538-1</v>
      </c>
      <c r="D397" s="1" t="str">
        <f t="shared" si="15"/>
        <v xml:space="preserve">059-328-1260  </v>
      </c>
      <c r="E397" s="1" t="s">
        <v>131</v>
      </c>
    </row>
    <row r="398" spans="1:5" x14ac:dyDescent="0.55000000000000004">
      <c r="A398" s="1" t="s">
        <v>1038</v>
      </c>
      <c r="B398" s="1" t="s">
        <v>149</v>
      </c>
      <c r="C398" s="1" t="str">
        <f t="shared" si="14"/>
        <v>四日市市山田町5538-1</v>
      </c>
      <c r="D398" s="1" t="str">
        <f t="shared" si="15"/>
        <v xml:space="preserve">059-328-1260  </v>
      </c>
      <c r="E398" s="1" t="s">
        <v>22</v>
      </c>
    </row>
    <row r="399" spans="1:5" x14ac:dyDescent="0.55000000000000004">
      <c r="A399" s="1" t="s">
        <v>1507</v>
      </c>
      <c r="B399" s="1" t="s">
        <v>149</v>
      </c>
      <c r="C399" s="1" t="str">
        <f t="shared" si="14"/>
        <v>四日市市山田町5538-1</v>
      </c>
      <c r="D399" s="1" t="str">
        <f t="shared" si="15"/>
        <v xml:space="preserve">059-328-1260  </v>
      </c>
      <c r="E399" s="1" t="s">
        <v>131</v>
      </c>
    </row>
    <row r="400" spans="1:5" x14ac:dyDescent="0.55000000000000004">
      <c r="A400" s="1" t="s">
        <v>1669</v>
      </c>
      <c r="B400" s="1" t="s">
        <v>149</v>
      </c>
      <c r="C400" s="1" t="str">
        <f t="shared" si="14"/>
        <v>四日市市山田町5538-1</v>
      </c>
      <c r="D400" s="1" t="str">
        <f t="shared" si="15"/>
        <v xml:space="preserve">059-328-1260  </v>
      </c>
      <c r="E400" s="1" t="s">
        <v>6</v>
      </c>
    </row>
    <row r="401" spans="1:5" x14ac:dyDescent="0.55000000000000004">
      <c r="A401" s="1" t="s">
        <v>2747</v>
      </c>
      <c r="B401" s="1" t="s">
        <v>149</v>
      </c>
      <c r="C401" s="1" t="str">
        <f t="shared" si="14"/>
        <v>四日市市山田町5538-1</v>
      </c>
      <c r="D401" s="1" t="str">
        <f t="shared" si="15"/>
        <v xml:space="preserve">059-328-1260  </v>
      </c>
      <c r="E401" s="1" t="s">
        <v>277</v>
      </c>
    </row>
    <row r="402" spans="1:5" x14ac:dyDescent="0.55000000000000004">
      <c r="A402" s="1" t="s">
        <v>2827</v>
      </c>
      <c r="B402" s="1" t="s">
        <v>149</v>
      </c>
      <c r="C402" s="1" t="str">
        <f t="shared" si="14"/>
        <v>四日市市山田町5538-1</v>
      </c>
      <c r="D402" s="1" t="str">
        <f t="shared" si="15"/>
        <v xml:space="preserve">059-328-1260  </v>
      </c>
      <c r="E402" s="1" t="s">
        <v>6</v>
      </c>
    </row>
    <row r="403" spans="1:5" x14ac:dyDescent="0.55000000000000004">
      <c r="A403" s="1" t="s">
        <v>2845</v>
      </c>
      <c r="B403" s="1" t="s">
        <v>149</v>
      </c>
      <c r="C403" s="1" t="str">
        <f t="shared" si="14"/>
        <v>四日市市山田町5538-1</v>
      </c>
      <c r="D403" s="1" t="str">
        <f t="shared" si="15"/>
        <v xml:space="preserve">059-328-1260  </v>
      </c>
      <c r="E403" s="1" t="s">
        <v>6</v>
      </c>
    </row>
    <row r="404" spans="1:5" x14ac:dyDescent="0.55000000000000004">
      <c r="A404" s="1" t="s">
        <v>2494</v>
      </c>
      <c r="B404" s="1" t="s">
        <v>2495</v>
      </c>
      <c r="C404" s="1" t="str">
        <f>"四日市市川原町34-7"</f>
        <v>四日市市川原町34-7</v>
      </c>
      <c r="D404" s="1" t="str">
        <f>"059-331-3322  "</f>
        <v xml:space="preserve">059-331-3322  </v>
      </c>
      <c r="E404" s="1" t="s">
        <v>23</v>
      </c>
    </row>
    <row r="405" spans="1:5" x14ac:dyDescent="0.55000000000000004">
      <c r="A405" s="1" t="s">
        <v>2708</v>
      </c>
      <c r="B405" s="1" t="s">
        <v>2495</v>
      </c>
      <c r="C405" s="1" t="s">
        <v>2709</v>
      </c>
      <c r="D405" s="1" t="str">
        <f>"059-331-3322  "</f>
        <v xml:space="preserve">059-331-3322  </v>
      </c>
      <c r="E405" s="1" t="s">
        <v>29</v>
      </c>
    </row>
    <row r="406" spans="1:5" x14ac:dyDescent="0.55000000000000004">
      <c r="A406" s="1" t="s">
        <v>2196</v>
      </c>
      <c r="B406" s="1" t="s">
        <v>2197</v>
      </c>
      <c r="C406" s="1" t="str">
        <f>"四日市市赤堀2丁目5-24　2階"</f>
        <v>四日市市赤堀2丁目5-24　2階</v>
      </c>
      <c r="D406" s="1" t="str">
        <f>"059-327-7679  "</f>
        <v xml:space="preserve">059-327-7679  </v>
      </c>
      <c r="E406" s="1" t="s">
        <v>2198</v>
      </c>
    </row>
    <row r="407" spans="1:5" x14ac:dyDescent="0.55000000000000004">
      <c r="A407" s="1" t="s">
        <v>1964</v>
      </c>
      <c r="B407" s="1" t="s">
        <v>1965</v>
      </c>
      <c r="C407" s="1" t="str">
        <f>"四日市市楠町南五味塚1246-2"</f>
        <v>四日市市楠町南五味塚1246-2</v>
      </c>
      <c r="D407" s="1" t="str">
        <f>"059-397-2076  "</f>
        <v xml:space="preserve">059-397-2076  </v>
      </c>
      <c r="E407" s="1" t="s">
        <v>24</v>
      </c>
    </row>
    <row r="408" spans="1:5" x14ac:dyDescent="0.55000000000000004">
      <c r="A408" s="1" t="s">
        <v>804</v>
      </c>
      <c r="B408" s="1" t="s">
        <v>805</v>
      </c>
      <c r="C408" s="1" t="str">
        <f>"四日市市堀木2丁目4-5"</f>
        <v>四日市市堀木2丁目4-5</v>
      </c>
      <c r="D408" s="1" t="str">
        <f>"059-328-4780  "</f>
        <v xml:space="preserve">059-328-4780  </v>
      </c>
      <c r="E408" s="1" t="s">
        <v>34</v>
      </c>
    </row>
    <row r="409" spans="1:5" x14ac:dyDescent="0.55000000000000004">
      <c r="A409" s="1" t="s">
        <v>640</v>
      </c>
      <c r="B409" s="1" t="s">
        <v>641</v>
      </c>
      <c r="C409" s="1" t="str">
        <f>"四日市市西伊倉町3-2"</f>
        <v>四日市市西伊倉町3-2</v>
      </c>
      <c r="D409" s="1" t="str">
        <f>"059-351-0810  "</f>
        <v xml:space="preserve">059-351-0810  </v>
      </c>
      <c r="E409" s="1" t="s">
        <v>81</v>
      </c>
    </row>
    <row r="410" spans="1:5" x14ac:dyDescent="0.55000000000000004">
      <c r="A410" s="1" t="s">
        <v>2902</v>
      </c>
      <c r="B410" s="1" t="s">
        <v>2903</v>
      </c>
      <c r="C410" s="1" t="s">
        <v>3078</v>
      </c>
      <c r="D410" s="1" t="str">
        <f>"059-363-0611  "</f>
        <v xml:space="preserve">059-363-0611  </v>
      </c>
      <c r="E410" s="1" t="s">
        <v>6</v>
      </c>
    </row>
    <row r="411" spans="1:5" x14ac:dyDescent="0.55000000000000004">
      <c r="A411" s="1" t="s">
        <v>449</v>
      </c>
      <c r="B411" s="1" t="s">
        <v>450</v>
      </c>
      <c r="C411" s="1" t="s">
        <v>451</v>
      </c>
      <c r="D411" s="1" t="str">
        <f>"059-326-1134  "</f>
        <v xml:space="preserve">059-326-1134  </v>
      </c>
      <c r="E411" s="1" t="s">
        <v>452</v>
      </c>
    </row>
    <row r="412" spans="1:5" x14ac:dyDescent="0.55000000000000004">
      <c r="A412" s="1" t="s">
        <v>1914</v>
      </c>
      <c r="B412" s="1" t="s">
        <v>1915</v>
      </c>
      <c r="C412" s="1" t="str">
        <f>"四日市市生桑町108-2"</f>
        <v>四日市市生桑町108-2</v>
      </c>
      <c r="D412" s="1" t="str">
        <f>"059-333-2221  "</f>
        <v xml:space="preserve">059-333-2221  </v>
      </c>
      <c r="E412" s="1" t="s">
        <v>135</v>
      </c>
    </row>
    <row r="413" spans="1:5" x14ac:dyDescent="0.55000000000000004">
      <c r="A413" s="1" t="s">
        <v>750</v>
      </c>
      <c r="B413" s="1" t="s">
        <v>751</v>
      </c>
      <c r="C413" s="1" t="str">
        <f>"四日市市日永西1丁目30-12"</f>
        <v>四日市市日永西1丁目30-12</v>
      </c>
      <c r="D413" s="1" t="str">
        <f>"059-320-3030  "</f>
        <v xml:space="preserve">059-320-3030  </v>
      </c>
      <c r="E413" s="1" t="s">
        <v>34</v>
      </c>
    </row>
    <row r="414" spans="1:5" x14ac:dyDescent="0.55000000000000004">
      <c r="A414" s="1" t="s">
        <v>752</v>
      </c>
      <c r="B414" s="1" t="s">
        <v>751</v>
      </c>
      <c r="C414" s="1" t="str">
        <f>"四日市市日永西1丁目30-12"</f>
        <v>四日市市日永西1丁目30-12</v>
      </c>
      <c r="D414" s="1" t="str">
        <f>"059-320-3030  "</f>
        <v xml:space="preserve">059-320-3030  </v>
      </c>
      <c r="E414" s="1" t="s">
        <v>34</v>
      </c>
    </row>
    <row r="415" spans="1:5" x14ac:dyDescent="0.55000000000000004">
      <c r="A415" s="1" t="s">
        <v>2267</v>
      </c>
      <c r="B415" s="1" t="s">
        <v>324</v>
      </c>
      <c r="C415" s="1" t="s">
        <v>325</v>
      </c>
      <c r="D415" s="1" t="str">
        <f t="shared" ref="D415:D446" si="16">"059-345-2321  "</f>
        <v xml:space="preserve">059-345-2321  </v>
      </c>
      <c r="E415" s="1" t="s">
        <v>131</v>
      </c>
    </row>
    <row r="416" spans="1:5" x14ac:dyDescent="0.55000000000000004">
      <c r="A416" s="1" t="s">
        <v>2293</v>
      </c>
      <c r="B416" s="1" t="s">
        <v>324</v>
      </c>
      <c r="C416" s="1" t="s">
        <v>325</v>
      </c>
      <c r="D416" s="1" t="str">
        <f t="shared" si="16"/>
        <v xml:space="preserve">059-345-2321  </v>
      </c>
      <c r="E416" s="1" t="s">
        <v>106</v>
      </c>
    </row>
    <row r="417" spans="1:5" x14ac:dyDescent="0.55000000000000004">
      <c r="A417" s="1" t="s">
        <v>2973</v>
      </c>
      <c r="B417" s="1" t="s">
        <v>324</v>
      </c>
      <c r="C417" s="1" t="s">
        <v>325</v>
      </c>
      <c r="D417" s="1" t="str">
        <f t="shared" si="16"/>
        <v xml:space="preserve">059-345-2321  </v>
      </c>
      <c r="E417" s="1" t="s">
        <v>22</v>
      </c>
    </row>
    <row r="418" spans="1:5" x14ac:dyDescent="0.55000000000000004">
      <c r="A418" s="1" t="s">
        <v>136</v>
      </c>
      <c r="B418" s="1" t="s">
        <v>324</v>
      </c>
      <c r="C418" s="1" t="s">
        <v>325</v>
      </c>
      <c r="D418" s="1" t="str">
        <f t="shared" si="16"/>
        <v xml:space="preserve">059-345-2321  </v>
      </c>
      <c r="E418" s="1" t="s">
        <v>111</v>
      </c>
    </row>
    <row r="419" spans="1:5" x14ac:dyDescent="0.55000000000000004">
      <c r="A419" s="1" t="s">
        <v>2338</v>
      </c>
      <c r="B419" s="1" t="s">
        <v>324</v>
      </c>
      <c r="C419" s="1" t="s">
        <v>325</v>
      </c>
      <c r="D419" s="1" t="str">
        <f t="shared" si="16"/>
        <v xml:space="preserve">059-345-2321  </v>
      </c>
      <c r="E419" s="1" t="s">
        <v>35</v>
      </c>
    </row>
    <row r="420" spans="1:5" x14ac:dyDescent="0.55000000000000004">
      <c r="A420" s="1" t="s">
        <v>2030</v>
      </c>
      <c r="B420" s="1" t="s">
        <v>324</v>
      </c>
      <c r="C420" s="1" t="s">
        <v>325</v>
      </c>
      <c r="D420" s="1" t="str">
        <f t="shared" si="16"/>
        <v xml:space="preserve">059-345-2321  </v>
      </c>
      <c r="E420" s="1" t="s">
        <v>65</v>
      </c>
    </row>
    <row r="421" spans="1:5" x14ac:dyDescent="0.55000000000000004">
      <c r="A421" s="1" t="s">
        <v>2383</v>
      </c>
      <c r="B421" s="1" t="s">
        <v>324</v>
      </c>
      <c r="C421" s="1" t="s">
        <v>325</v>
      </c>
      <c r="D421" s="1" t="str">
        <f t="shared" si="16"/>
        <v xml:space="preserve">059-345-2321  </v>
      </c>
      <c r="E421" s="1" t="s">
        <v>14</v>
      </c>
    </row>
    <row r="422" spans="1:5" x14ac:dyDescent="0.55000000000000004">
      <c r="A422" s="1" t="s">
        <v>2387</v>
      </c>
      <c r="B422" s="1" t="s">
        <v>324</v>
      </c>
      <c r="C422" s="1" t="s">
        <v>325</v>
      </c>
      <c r="D422" s="1" t="str">
        <f t="shared" si="16"/>
        <v xml:space="preserve">059-345-2321  </v>
      </c>
      <c r="E422" s="1" t="s">
        <v>81</v>
      </c>
    </row>
    <row r="423" spans="1:5" x14ac:dyDescent="0.55000000000000004">
      <c r="A423" s="1" t="s">
        <v>2388</v>
      </c>
      <c r="B423" s="1" t="s">
        <v>324</v>
      </c>
      <c r="C423" s="1" t="s">
        <v>325</v>
      </c>
      <c r="D423" s="1" t="str">
        <f t="shared" si="16"/>
        <v xml:space="preserve">059-345-2321  </v>
      </c>
      <c r="E423" s="1" t="s">
        <v>1025</v>
      </c>
    </row>
    <row r="424" spans="1:5" x14ac:dyDescent="0.55000000000000004">
      <c r="A424" s="1" t="s">
        <v>2389</v>
      </c>
      <c r="B424" s="1" t="s">
        <v>324</v>
      </c>
      <c r="C424" s="1" t="s">
        <v>325</v>
      </c>
      <c r="D424" s="1" t="str">
        <f t="shared" si="16"/>
        <v xml:space="preserve">059-345-2321  </v>
      </c>
      <c r="E424" s="1" t="s">
        <v>135</v>
      </c>
    </row>
    <row r="425" spans="1:5" x14ac:dyDescent="0.55000000000000004">
      <c r="A425" s="1" t="s">
        <v>2390</v>
      </c>
      <c r="B425" s="1" t="s">
        <v>324</v>
      </c>
      <c r="C425" s="1" t="s">
        <v>325</v>
      </c>
      <c r="D425" s="1" t="str">
        <f t="shared" si="16"/>
        <v xml:space="preserve">059-345-2321  </v>
      </c>
      <c r="E425" s="1" t="s">
        <v>135</v>
      </c>
    </row>
    <row r="426" spans="1:5" x14ac:dyDescent="0.55000000000000004">
      <c r="A426" s="1" t="s">
        <v>2391</v>
      </c>
      <c r="B426" s="1" t="s">
        <v>324</v>
      </c>
      <c r="C426" s="1" t="s">
        <v>325</v>
      </c>
      <c r="D426" s="1" t="str">
        <f t="shared" si="16"/>
        <v xml:space="preserve">059-345-2321  </v>
      </c>
      <c r="E426" s="1" t="s">
        <v>135</v>
      </c>
    </row>
    <row r="427" spans="1:5" x14ac:dyDescent="0.55000000000000004">
      <c r="A427" s="1" t="s">
        <v>2070</v>
      </c>
      <c r="B427" s="1" t="s">
        <v>324</v>
      </c>
      <c r="C427" s="1" t="s">
        <v>325</v>
      </c>
      <c r="D427" s="1" t="str">
        <f t="shared" si="16"/>
        <v xml:space="preserve">059-345-2321  </v>
      </c>
      <c r="E427" s="1" t="s">
        <v>14</v>
      </c>
    </row>
    <row r="428" spans="1:5" x14ac:dyDescent="0.55000000000000004">
      <c r="A428" s="1" t="s">
        <v>2418</v>
      </c>
      <c r="B428" s="1" t="s">
        <v>324</v>
      </c>
      <c r="C428" s="1" t="s">
        <v>325</v>
      </c>
      <c r="D428" s="1" t="str">
        <f t="shared" si="16"/>
        <v xml:space="preserve">059-345-2321  </v>
      </c>
      <c r="E428" s="1" t="s">
        <v>135</v>
      </c>
    </row>
    <row r="429" spans="1:5" x14ac:dyDescent="0.55000000000000004">
      <c r="A429" s="1" t="s">
        <v>2092</v>
      </c>
      <c r="B429" s="1" t="s">
        <v>324</v>
      </c>
      <c r="C429" s="1" t="s">
        <v>325</v>
      </c>
      <c r="D429" s="1" t="str">
        <f t="shared" si="16"/>
        <v xml:space="preserve">059-345-2321  </v>
      </c>
      <c r="E429" s="1" t="s">
        <v>14</v>
      </c>
    </row>
    <row r="430" spans="1:5" x14ac:dyDescent="0.55000000000000004">
      <c r="A430" s="1" t="s">
        <v>2026</v>
      </c>
      <c r="B430" s="1" t="s">
        <v>324</v>
      </c>
      <c r="C430" s="1" t="s">
        <v>325</v>
      </c>
      <c r="D430" s="1" t="str">
        <f t="shared" si="16"/>
        <v xml:space="preserve">059-345-2321  </v>
      </c>
      <c r="E430" s="1" t="s">
        <v>1025</v>
      </c>
    </row>
    <row r="431" spans="1:5" x14ac:dyDescent="0.55000000000000004">
      <c r="A431" s="1" t="s">
        <v>1430</v>
      </c>
      <c r="B431" s="1" t="s">
        <v>324</v>
      </c>
      <c r="C431" s="1" t="s">
        <v>325</v>
      </c>
      <c r="D431" s="1" t="str">
        <f t="shared" si="16"/>
        <v xml:space="preserve">059-345-2321  </v>
      </c>
      <c r="E431" s="1" t="s">
        <v>1025</v>
      </c>
    </row>
    <row r="432" spans="1:5" x14ac:dyDescent="0.55000000000000004">
      <c r="A432" s="1" t="s">
        <v>2535</v>
      </c>
      <c r="B432" s="1" t="s">
        <v>324</v>
      </c>
      <c r="C432" s="1" t="s">
        <v>325</v>
      </c>
      <c r="D432" s="1" t="str">
        <f t="shared" si="16"/>
        <v xml:space="preserve">059-345-2321  </v>
      </c>
      <c r="E432" s="1" t="s">
        <v>35</v>
      </c>
    </row>
    <row r="433" spans="1:5" x14ac:dyDescent="0.55000000000000004">
      <c r="A433" s="1" t="s">
        <v>2536</v>
      </c>
      <c r="B433" s="1" t="s">
        <v>324</v>
      </c>
      <c r="C433" s="1" t="s">
        <v>325</v>
      </c>
      <c r="D433" s="1" t="str">
        <f t="shared" si="16"/>
        <v xml:space="preserve">059-345-2321  </v>
      </c>
      <c r="E433" s="1" t="s">
        <v>81</v>
      </c>
    </row>
    <row r="434" spans="1:5" x14ac:dyDescent="0.55000000000000004">
      <c r="A434" s="1" t="s">
        <v>2545</v>
      </c>
      <c r="B434" s="1" t="s">
        <v>324</v>
      </c>
      <c r="C434" s="1" t="s">
        <v>325</v>
      </c>
      <c r="D434" s="1" t="str">
        <f t="shared" si="16"/>
        <v xml:space="preserve">059-345-2321  </v>
      </c>
      <c r="E434" s="1" t="s">
        <v>81</v>
      </c>
    </row>
    <row r="435" spans="1:5" x14ac:dyDescent="0.55000000000000004">
      <c r="A435" s="1" t="s">
        <v>323</v>
      </c>
      <c r="B435" s="1" t="s">
        <v>324</v>
      </c>
      <c r="C435" s="1" t="s">
        <v>325</v>
      </c>
      <c r="D435" s="1" t="str">
        <f t="shared" si="16"/>
        <v xml:space="preserve">059-345-2321  </v>
      </c>
      <c r="E435" s="1" t="s">
        <v>326</v>
      </c>
    </row>
    <row r="436" spans="1:5" x14ac:dyDescent="0.55000000000000004">
      <c r="A436" s="1" t="s">
        <v>882</v>
      </c>
      <c r="B436" s="1" t="s">
        <v>324</v>
      </c>
      <c r="C436" s="1" t="s">
        <v>325</v>
      </c>
      <c r="D436" s="1" t="str">
        <f t="shared" si="16"/>
        <v xml:space="preserve">059-345-2321  </v>
      </c>
      <c r="E436" s="1" t="s">
        <v>131</v>
      </c>
    </row>
    <row r="437" spans="1:5" x14ac:dyDescent="0.55000000000000004">
      <c r="A437" s="1" t="s">
        <v>1011</v>
      </c>
      <c r="B437" s="1" t="s">
        <v>324</v>
      </c>
      <c r="C437" s="1" t="s">
        <v>325</v>
      </c>
      <c r="D437" s="1" t="str">
        <f t="shared" si="16"/>
        <v xml:space="preserve">059-345-2321  </v>
      </c>
      <c r="E437" s="1" t="s">
        <v>35</v>
      </c>
    </row>
    <row r="438" spans="1:5" x14ac:dyDescent="0.55000000000000004">
      <c r="A438" s="1" t="s">
        <v>1012</v>
      </c>
      <c r="B438" s="1" t="s">
        <v>324</v>
      </c>
      <c r="C438" s="1" t="s">
        <v>325</v>
      </c>
      <c r="D438" s="1" t="str">
        <f t="shared" si="16"/>
        <v xml:space="preserve">059-345-2321  </v>
      </c>
      <c r="E438" s="1" t="s">
        <v>106</v>
      </c>
    </row>
    <row r="439" spans="1:5" x14ac:dyDescent="0.55000000000000004">
      <c r="A439" s="1" t="s">
        <v>1013</v>
      </c>
      <c r="B439" s="1" t="s">
        <v>324</v>
      </c>
      <c r="C439" s="1" t="s">
        <v>325</v>
      </c>
      <c r="D439" s="1" t="str">
        <f t="shared" si="16"/>
        <v xml:space="preserve">059-345-2321  </v>
      </c>
      <c r="E439" s="1" t="s">
        <v>106</v>
      </c>
    </row>
    <row r="440" spans="1:5" x14ac:dyDescent="0.55000000000000004">
      <c r="A440" s="1" t="s">
        <v>1024</v>
      </c>
      <c r="B440" s="1" t="s">
        <v>324</v>
      </c>
      <c r="C440" s="1" t="s">
        <v>325</v>
      </c>
      <c r="D440" s="1" t="str">
        <f t="shared" si="16"/>
        <v xml:space="preserve">059-345-2321  </v>
      </c>
      <c r="E440" s="1" t="s">
        <v>1025</v>
      </c>
    </row>
    <row r="441" spans="1:5" x14ac:dyDescent="0.55000000000000004">
      <c r="A441" s="1" t="s">
        <v>1026</v>
      </c>
      <c r="B441" s="1" t="s">
        <v>324</v>
      </c>
      <c r="C441" s="1" t="s">
        <v>325</v>
      </c>
      <c r="D441" s="1" t="str">
        <f t="shared" si="16"/>
        <v xml:space="preserve">059-345-2321  </v>
      </c>
      <c r="E441" s="1" t="s">
        <v>1027</v>
      </c>
    </row>
    <row r="442" spans="1:5" x14ac:dyDescent="0.55000000000000004">
      <c r="A442" s="1" t="s">
        <v>1028</v>
      </c>
      <c r="B442" s="1" t="s">
        <v>324</v>
      </c>
      <c r="C442" s="1" t="s">
        <v>325</v>
      </c>
      <c r="D442" s="1" t="str">
        <f t="shared" si="16"/>
        <v xml:space="preserve">059-345-2321  </v>
      </c>
      <c r="E442" s="1" t="s">
        <v>1027</v>
      </c>
    </row>
    <row r="443" spans="1:5" x14ac:dyDescent="0.55000000000000004">
      <c r="A443" s="1" t="s">
        <v>1029</v>
      </c>
      <c r="B443" s="1" t="s">
        <v>324</v>
      </c>
      <c r="C443" s="1" t="s">
        <v>325</v>
      </c>
      <c r="D443" s="1" t="str">
        <f t="shared" si="16"/>
        <v xml:space="preserve">059-345-2321  </v>
      </c>
      <c r="E443" s="1" t="s">
        <v>111</v>
      </c>
    </row>
    <row r="444" spans="1:5" x14ac:dyDescent="0.55000000000000004">
      <c r="A444" s="1" t="s">
        <v>1031</v>
      </c>
      <c r="B444" s="1" t="s">
        <v>324</v>
      </c>
      <c r="C444" s="1" t="s">
        <v>325</v>
      </c>
      <c r="D444" s="1" t="str">
        <f t="shared" si="16"/>
        <v xml:space="preserve">059-345-2321  </v>
      </c>
      <c r="E444" s="1" t="s">
        <v>135</v>
      </c>
    </row>
    <row r="445" spans="1:5" x14ac:dyDescent="0.55000000000000004">
      <c r="A445" s="1" t="s">
        <v>1032</v>
      </c>
      <c r="B445" s="1" t="s">
        <v>324</v>
      </c>
      <c r="C445" s="1" t="s">
        <v>325</v>
      </c>
      <c r="D445" s="1" t="str">
        <f t="shared" si="16"/>
        <v xml:space="preserve">059-345-2321  </v>
      </c>
      <c r="E445" s="1" t="s">
        <v>135</v>
      </c>
    </row>
    <row r="446" spans="1:5" x14ac:dyDescent="0.55000000000000004">
      <c r="A446" s="1" t="s">
        <v>1035</v>
      </c>
      <c r="B446" s="1" t="s">
        <v>324</v>
      </c>
      <c r="C446" s="1" t="s">
        <v>325</v>
      </c>
      <c r="D446" s="1" t="str">
        <f t="shared" si="16"/>
        <v xml:space="preserve">059-345-2321  </v>
      </c>
      <c r="E446" s="1" t="s">
        <v>14</v>
      </c>
    </row>
    <row r="447" spans="1:5" x14ac:dyDescent="0.55000000000000004">
      <c r="A447" s="1" t="s">
        <v>1036</v>
      </c>
      <c r="B447" s="1" t="s">
        <v>324</v>
      </c>
      <c r="C447" s="1" t="s">
        <v>325</v>
      </c>
      <c r="D447" s="1" t="str">
        <f t="shared" ref="D447:D467" si="17">"059-345-2321  "</f>
        <v xml:space="preserve">059-345-2321  </v>
      </c>
      <c r="E447" s="1" t="s">
        <v>10</v>
      </c>
    </row>
    <row r="448" spans="1:5" x14ac:dyDescent="0.55000000000000004">
      <c r="A448" s="1" t="s">
        <v>1037</v>
      </c>
      <c r="B448" s="1" t="s">
        <v>324</v>
      </c>
      <c r="C448" s="1" t="s">
        <v>325</v>
      </c>
      <c r="D448" s="1" t="str">
        <f t="shared" si="17"/>
        <v xml:space="preserve">059-345-2321  </v>
      </c>
      <c r="E448" s="1" t="s">
        <v>34</v>
      </c>
    </row>
    <row r="449" spans="1:5" x14ac:dyDescent="0.55000000000000004">
      <c r="A449" s="1" t="s">
        <v>1042</v>
      </c>
      <c r="B449" s="1" t="s">
        <v>324</v>
      </c>
      <c r="C449" s="1" t="s">
        <v>325</v>
      </c>
      <c r="D449" s="1" t="str">
        <f t="shared" si="17"/>
        <v xml:space="preserve">059-345-2321  </v>
      </c>
      <c r="E449" s="1" t="s">
        <v>717</v>
      </c>
    </row>
    <row r="450" spans="1:5" x14ac:dyDescent="0.55000000000000004">
      <c r="A450" s="1" t="s">
        <v>1051</v>
      </c>
      <c r="B450" s="1" t="s">
        <v>324</v>
      </c>
      <c r="C450" s="1" t="s">
        <v>325</v>
      </c>
      <c r="D450" s="1" t="str">
        <f t="shared" si="17"/>
        <v xml:space="preserve">059-345-2321  </v>
      </c>
      <c r="E450" s="1" t="s">
        <v>23</v>
      </c>
    </row>
    <row r="451" spans="1:5" x14ac:dyDescent="0.55000000000000004">
      <c r="A451" s="1" t="s">
        <v>1057</v>
      </c>
      <c r="B451" s="1" t="s">
        <v>324</v>
      </c>
      <c r="C451" s="1" t="s">
        <v>325</v>
      </c>
      <c r="D451" s="1" t="str">
        <f t="shared" si="17"/>
        <v xml:space="preserve">059-345-2321  </v>
      </c>
      <c r="E451" s="1" t="s">
        <v>135</v>
      </c>
    </row>
    <row r="452" spans="1:5" x14ac:dyDescent="0.55000000000000004">
      <c r="A452" s="1" t="s">
        <v>1175</v>
      </c>
      <c r="B452" s="1" t="s">
        <v>324</v>
      </c>
      <c r="C452" s="1" t="s">
        <v>325</v>
      </c>
      <c r="D452" s="1" t="str">
        <f t="shared" si="17"/>
        <v xml:space="preserve">059-345-2321  </v>
      </c>
      <c r="E452" s="1" t="s">
        <v>135</v>
      </c>
    </row>
    <row r="453" spans="1:5" x14ac:dyDescent="0.55000000000000004">
      <c r="A453" s="1" t="s">
        <v>1235</v>
      </c>
      <c r="B453" s="1" t="s">
        <v>324</v>
      </c>
      <c r="C453" s="1" t="s">
        <v>325</v>
      </c>
      <c r="D453" s="1" t="str">
        <f t="shared" si="17"/>
        <v xml:space="preserve">059-345-2321  </v>
      </c>
      <c r="E453" s="1" t="s">
        <v>1027</v>
      </c>
    </row>
    <row r="454" spans="1:5" x14ac:dyDescent="0.55000000000000004">
      <c r="A454" s="1" t="s">
        <v>1258</v>
      </c>
      <c r="B454" s="1" t="s">
        <v>324</v>
      </c>
      <c r="C454" s="1" t="s">
        <v>325</v>
      </c>
      <c r="D454" s="1" t="str">
        <f t="shared" si="17"/>
        <v xml:space="preserve">059-345-2321  </v>
      </c>
      <c r="E454" s="1" t="s">
        <v>111</v>
      </c>
    </row>
    <row r="455" spans="1:5" x14ac:dyDescent="0.55000000000000004">
      <c r="A455" s="1" t="s">
        <v>1277</v>
      </c>
      <c r="B455" s="1" t="s">
        <v>324</v>
      </c>
      <c r="C455" s="1" t="s">
        <v>325</v>
      </c>
      <c r="D455" s="1" t="str">
        <f t="shared" si="17"/>
        <v xml:space="preserve">059-345-2321  </v>
      </c>
      <c r="E455" s="1" t="s">
        <v>1278</v>
      </c>
    </row>
    <row r="456" spans="1:5" x14ac:dyDescent="0.55000000000000004">
      <c r="A456" s="1" t="s">
        <v>1314</v>
      </c>
      <c r="B456" s="1" t="s">
        <v>324</v>
      </c>
      <c r="C456" s="1" t="s">
        <v>325</v>
      </c>
      <c r="D456" s="1" t="str">
        <f t="shared" si="17"/>
        <v xml:space="preserve">059-345-2321  </v>
      </c>
      <c r="E456" s="1" t="s">
        <v>135</v>
      </c>
    </row>
    <row r="457" spans="1:5" x14ac:dyDescent="0.55000000000000004">
      <c r="A457" s="1" t="s">
        <v>1322</v>
      </c>
      <c r="B457" s="1" t="s">
        <v>324</v>
      </c>
      <c r="C457" s="1" t="s">
        <v>325</v>
      </c>
      <c r="D457" s="1" t="str">
        <f t="shared" si="17"/>
        <v xml:space="preserve">059-345-2321  </v>
      </c>
      <c r="E457" s="1" t="s">
        <v>106</v>
      </c>
    </row>
    <row r="458" spans="1:5" x14ac:dyDescent="0.55000000000000004">
      <c r="A458" s="1" t="s">
        <v>1340</v>
      </c>
      <c r="B458" s="1" t="s">
        <v>324</v>
      </c>
      <c r="C458" s="1" t="s">
        <v>325</v>
      </c>
      <c r="D458" s="1" t="str">
        <f t="shared" si="17"/>
        <v xml:space="preserve">059-345-2321  </v>
      </c>
      <c r="E458" s="1" t="s">
        <v>81</v>
      </c>
    </row>
    <row r="459" spans="1:5" x14ac:dyDescent="0.55000000000000004">
      <c r="A459" s="1" t="s">
        <v>1646</v>
      </c>
      <c r="B459" s="1" t="s">
        <v>324</v>
      </c>
      <c r="C459" s="1" t="s">
        <v>325</v>
      </c>
      <c r="D459" s="1" t="str">
        <f t="shared" si="17"/>
        <v xml:space="preserve">059-345-2321  </v>
      </c>
      <c r="E459" s="1" t="s">
        <v>35</v>
      </c>
    </row>
    <row r="460" spans="1:5" x14ac:dyDescent="0.55000000000000004">
      <c r="A460" s="1" t="s">
        <v>2894</v>
      </c>
      <c r="B460" s="1" t="s">
        <v>324</v>
      </c>
      <c r="C460" s="1" t="s">
        <v>325</v>
      </c>
      <c r="D460" s="1" t="str">
        <f t="shared" si="17"/>
        <v xml:space="preserve">059-345-2321  </v>
      </c>
      <c r="E460" s="1" t="s">
        <v>106</v>
      </c>
    </row>
    <row r="461" spans="1:5" x14ac:dyDescent="0.55000000000000004">
      <c r="A461" s="1" t="s">
        <v>2201</v>
      </c>
      <c r="B461" s="1" t="s">
        <v>324</v>
      </c>
      <c r="C461" s="1" t="s">
        <v>325</v>
      </c>
      <c r="D461" s="1" t="str">
        <f t="shared" si="17"/>
        <v xml:space="preserve">059-345-2321  </v>
      </c>
      <c r="E461" s="1" t="s">
        <v>135</v>
      </c>
    </row>
    <row r="462" spans="1:5" x14ac:dyDescent="0.55000000000000004">
      <c r="A462" s="1" t="s">
        <v>2653</v>
      </c>
      <c r="B462" s="1" t="s">
        <v>324</v>
      </c>
      <c r="C462" s="1" t="s">
        <v>325</v>
      </c>
      <c r="D462" s="1" t="str">
        <f t="shared" si="17"/>
        <v xml:space="preserve">059-345-2321  </v>
      </c>
      <c r="E462" s="1" t="s">
        <v>111</v>
      </c>
    </row>
    <row r="463" spans="1:5" x14ac:dyDescent="0.55000000000000004">
      <c r="A463" s="1" t="s">
        <v>2654</v>
      </c>
      <c r="B463" s="1" t="s">
        <v>324</v>
      </c>
      <c r="C463" s="1" t="s">
        <v>325</v>
      </c>
      <c r="D463" s="1" t="str">
        <f t="shared" si="17"/>
        <v xml:space="preserve">059-345-2321  </v>
      </c>
      <c r="E463" s="1" t="s">
        <v>35</v>
      </c>
    </row>
    <row r="464" spans="1:5" x14ac:dyDescent="0.55000000000000004">
      <c r="A464" s="1" t="s">
        <v>1857</v>
      </c>
      <c r="B464" s="1" t="s">
        <v>324</v>
      </c>
      <c r="C464" s="1" t="s">
        <v>325</v>
      </c>
      <c r="D464" s="1" t="str">
        <f t="shared" si="17"/>
        <v xml:space="preserve">059-345-2321  </v>
      </c>
      <c r="E464" s="1" t="s">
        <v>1858</v>
      </c>
    </row>
    <row r="465" spans="1:5" x14ac:dyDescent="0.55000000000000004">
      <c r="A465" s="1" t="s">
        <v>1859</v>
      </c>
      <c r="B465" s="1" t="s">
        <v>324</v>
      </c>
      <c r="C465" s="1" t="s">
        <v>325</v>
      </c>
      <c r="D465" s="1" t="str">
        <f t="shared" si="17"/>
        <v xml:space="preserve">059-345-2321  </v>
      </c>
      <c r="E465" s="1" t="s">
        <v>14</v>
      </c>
    </row>
    <row r="466" spans="1:5" x14ac:dyDescent="0.55000000000000004">
      <c r="A466" s="1" t="s">
        <v>2679</v>
      </c>
      <c r="B466" s="1" t="s">
        <v>324</v>
      </c>
      <c r="C466" s="1" t="s">
        <v>325</v>
      </c>
      <c r="D466" s="1" t="str">
        <f t="shared" si="17"/>
        <v xml:space="preserve">059-345-2321  </v>
      </c>
      <c r="E466" s="1" t="s">
        <v>1858</v>
      </c>
    </row>
    <row r="467" spans="1:5" x14ac:dyDescent="0.55000000000000004">
      <c r="A467" s="1" t="s">
        <v>2680</v>
      </c>
      <c r="B467" s="1" t="s">
        <v>324</v>
      </c>
      <c r="C467" s="1" t="s">
        <v>325</v>
      </c>
      <c r="D467" s="1" t="str">
        <f t="shared" si="17"/>
        <v xml:space="preserve">059-345-2321  </v>
      </c>
      <c r="E467" s="1" t="s">
        <v>131</v>
      </c>
    </row>
    <row r="468" spans="1:5" x14ac:dyDescent="0.55000000000000004">
      <c r="A468" s="1" t="s">
        <v>1014</v>
      </c>
      <c r="B468" s="1" t="s">
        <v>1015</v>
      </c>
      <c r="C468" s="1" t="str">
        <f>"四日市市桜台1-31-3"</f>
        <v>四日市市桜台1-31-3</v>
      </c>
      <c r="D468" s="1" t="str">
        <f>"059-326-7272  "</f>
        <v xml:space="preserve">059-326-7272  </v>
      </c>
      <c r="E468" s="1" t="s">
        <v>233</v>
      </c>
    </row>
    <row r="469" spans="1:5" x14ac:dyDescent="0.55000000000000004">
      <c r="A469" s="1" t="s">
        <v>2733</v>
      </c>
      <c r="B469" s="1" t="s">
        <v>1015</v>
      </c>
      <c r="C469" s="1" t="str">
        <f>"四日市市桜台1-31-3"</f>
        <v>四日市市桜台1-31-3</v>
      </c>
      <c r="D469" s="1" t="str">
        <f>"059-326-7272  "</f>
        <v xml:space="preserve">059-326-7272  </v>
      </c>
      <c r="E469" s="1" t="s">
        <v>6</v>
      </c>
    </row>
    <row r="470" spans="1:5" x14ac:dyDescent="0.55000000000000004">
      <c r="A470" s="1" t="s">
        <v>266</v>
      </c>
      <c r="B470" s="1" t="s">
        <v>267</v>
      </c>
      <c r="C470" s="1" t="str">
        <f>"四日市市羽津中2丁目2-6"</f>
        <v>四日市市羽津中2丁目2-6</v>
      </c>
      <c r="D470" s="1" t="str">
        <f>"059-330-0330  "</f>
        <v xml:space="preserve">059-330-0330  </v>
      </c>
      <c r="E470" s="1" t="s">
        <v>268</v>
      </c>
    </row>
    <row r="471" spans="1:5" x14ac:dyDescent="0.55000000000000004">
      <c r="A471" s="1" t="s">
        <v>1420</v>
      </c>
      <c r="B471" s="1" t="s">
        <v>1421</v>
      </c>
      <c r="C471" s="1" t="s">
        <v>1422</v>
      </c>
      <c r="D471" s="1" t="str">
        <f>"059-331-8081  "</f>
        <v xml:space="preserve">059-331-8081  </v>
      </c>
      <c r="E471" s="1" t="s">
        <v>1423</v>
      </c>
    </row>
    <row r="472" spans="1:5" x14ac:dyDescent="0.55000000000000004">
      <c r="A472" s="1" t="s">
        <v>1832</v>
      </c>
      <c r="B472" s="1" t="s">
        <v>1833</v>
      </c>
      <c r="C472" s="1" t="str">
        <f>"四日市市浜田町12-25-1"</f>
        <v>四日市市浜田町12-25-1</v>
      </c>
      <c r="D472" s="1" t="str">
        <f>"059-356-5600  "</f>
        <v xml:space="preserve">059-356-5600  </v>
      </c>
      <c r="E472" s="1" t="s">
        <v>2966</v>
      </c>
    </row>
    <row r="473" spans="1:5" x14ac:dyDescent="0.55000000000000004">
      <c r="A473" s="1" t="s">
        <v>2527</v>
      </c>
      <c r="B473" s="1" t="s">
        <v>916</v>
      </c>
      <c r="C473" s="1" t="s">
        <v>925</v>
      </c>
      <c r="D473" s="1" t="str">
        <f t="shared" ref="D473:D491" si="18">"059-331-2000  "</f>
        <v xml:space="preserve">059-331-2000  </v>
      </c>
      <c r="E473" s="1" t="s">
        <v>14</v>
      </c>
    </row>
    <row r="474" spans="1:5" x14ac:dyDescent="0.55000000000000004">
      <c r="A474" s="1" t="s">
        <v>2528</v>
      </c>
      <c r="B474" s="1" t="s">
        <v>916</v>
      </c>
      <c r="C474" s="1" t="s">
        <v>925</v>
      </c>
      <c r="D474" s="1" t="str">
        <f t="shared" si="18"/>
        <v xml:space="preserve">059-331-2000  </v>
      </c>
      <c r="E474" s="1" t="s">
        <v>23</v>
      </c>
    </row>
    <row r="475" spans="1:5" x14ac:dyDescent="0.55000000000000004">
      <c r="A475" s="1" t="s">
        <v>924</v>
      </c>
      <c r="B475" s="1" t="s">
        <v>916</v>
      </c>
      <c r="C475" s="1" t="s">
        <v>925</v>
      </c>
      <c r="D475" s="1" t="str">
        <f t="shared" si="18"/>
        <v xml:space="preserve">059-331-2000  </v>
      </c>
      <c r="E475" s="1" t="s">
        <v>6</v>
      </c>
    </row>
    <row r="476" spans="1:5" x14ac:dyDescent="0.55000000000000004">
      <c r="A476" s="1" t="s">
        <v>927</v>
      </c>
      <c r="B476" s="1" t="s">
        <v>916</v>
      </c>
      <c r="C476" s="1" t="s">
        <v>925</v>
      </c>
      <c r="D476" s="1" t="str">
        <f t="shared" si="18"/>
        <v xml:space="preserve">059-331-2000  </v>
      </c>
      <c r="E476" s="1" t="s">
        <v>145</v>
      </c>
    </row>
    <row r="477" spans="1:5" x14ac:dyDescent="0.55000000000000004">
      <c r="A477" s="1" t="s">
        <v>928</v>
      </c>
      <c r="B477" s="1" t="s">
        <v>916</v>
      </c>
      <c r="C477" s="1" t="s">
        <v>925</v>
      </c>
      <c r="D477" s="1" t="str">
        <f t="shared" si="18"/>
        <v xml:space="preserve">059-331-2000  </v>
      </c>
      <c r="E477" s="1" t="s">
        <v>134</v>
      </c>
    </row>
    <row r="478" spans="1:5" x14ac:dyDescent="0.55000000000000004">
      <c r="A478" s="1" t="s">
        <v>931</v>
      </c>
      <c r="B478" s="1" t="s">
        <v>916</v>
      </c>
      <c r="C478" s="1" t="s">
        <v>925</v>
      </c>
      <c r="D478" s="1" t="str">
        <f t="shared" si="18"/>
        <v xml:space="preserve">059-331-2000  </v>
      </c>
      <c r="E478" s="1" t="s">
        <v>6</v>
      </c>
    </row>
    <row r="479" spans="1:5" x14ac:dyDescent="0.55000000000000004">
      <c r="A479" s="1" t="s">
        <v>932</v>
      </c>
      <c r="B479" s="1" t="s">
        <v>916</v>
      </c>
      <c r="C479" s="1" t="s">
        <v>925</v>
      </c>
      <c r="D479" s="1" t="str">
        <f t="shared" si="18"/>
        <v xml:space="preserve">059-331-2000  </v>
      </c>
      <c r="E479" s="1" t="s">
        <v>23</v>
      </c>
    </row>
    <row r="480" spans="1:5" x14ac:dyDescent="0.55000000000000004">
      <c r="A480" s="1" t="s">
        <v>933</v>
      </c>
      <c r="B480" s="1" t="s">
        <v>916</v>
      </c>
      <c r="C480" s="1" t="s">
        <v>925</v>
      </c>
      <c r="D480" s="1" t="str">
        <f t="shared" si="18"/>
        <v xml:space="preserve">059-331-2000  </v>
      </c>
      <c r="E480" s="1" t="s">
        <v>23</v>
      </c>
    </row>
    <row r="481" spans="1:5" x14ac:dyDescent="0.55000000000000004">
      <c r="A481" s="1" t="s">
        <v>934</v>
      </c>
      <c r="B481" s="1" t="s">
        <v>916</v>
      </c>
      <c r="C481" s="1" t="s">
        <v>925</v>
      </c>
      <c r="D481" s="1" t="str">
        <f t="shared" si="18"/>
        <v xml:space="preserve">059-331-2000  </v>
      </c>
      <c r="E481" s="1" t="s">
        <v>216</v>
      </c>
    </row>
    <row r="482" spans="1:5" x14ac:dyDescent="0.55000000000000004">
      <c r="A482" s="1" t="s">
        <v>935</v>
      </c>
      <c r="B482" s="1" t="s">
        <v>916</v>
      </c>
      <c r="C482" s="1" t="s">
        <v>925</v>
      </c>
      <c r="D482" s="1" t="str">
        <f t="shared" si="18"/>
        <v xml:space="preserve">059-331-2000  </v>
      </c>
      <c r="E482" s="1" t="s">
        <v>34</v>
      </c>
    </row>
    <row r="483" spans="1:5" x14ac:dyDescent="0.55000000000000004">
      <c r="A483" s="1" t="s">
        <v>1007</v>
      </c>
      <c r="B483" s="1" t="s">
        <v>916</v>
      </c>
      <c r="C483" s="1" t="s">
        <v>925</v>
      </c>
      <c r="D483" s="1" t="str">
        <f t="shared" si="18"/>
        <v xml:space="preserve">059-331-2000  </v>
      </c>
      <c r="E483" s="1" t="s">
        <v>14</v>
      </c>
    </row>
    <row r="484" spans="1:5" x14ac:dyDescent="0.55000000000000004">
      <c r="A484" s="1" t="s">
        <v>2900</v>
      </c>
      <c r="B484" s="1" t="s">
        <v>916</v>
      </c>
      <c r="C484" s="1" t="s">
        <v>925</v>
      </c>
      <c r="D484" s="1" t="str">
        <f t="shared" si="18"/>
        <v xml:space="preserve">059-331-2000  </v>
      </c>
      <c r="E484" s="1" t="s">
        <v>23</v>
      </c>
    </row>
    <row r="485" spans="1:5" x14ac:dyDescent="0.55000000000000004">
      <c r="A485" s="1" t="s">
        <v>915</v>
      </c>
      <c r="B485" s="1" t="s">
        <v>916</v>
      </c>
      <c r="C485" s="1" t="s">
        <v>925</v>
      </c>
      <c r="D485" s="1" t="str">
        <f t="shared" si="18"/>
        <v xml:space="preserve">059-331-2000  </v>
      </c>
      <c r="E485" s="1" t="s">
        <v>126</v>
      </c>
    </row>
    <row r="486" spans="1:5" x14ac:dyDescent="0.55000000000000004">
      <c r="A486" s="1" t="s">
        <v>1236</v>
      </c>
      <c r="B486" s="1" t="s">
        <v>916</v>
      </c>
      <c r="C486" s="1" t="s">
        <v>925</v>
      </c>
      <c r="D486" s="1" t="str">
        <f t="shared" si="18"/>
        <v xml:space="preserve">059-331-2000  </v>
      </c>
      <c r="E486" s="1" t="s">
        <v>131</v>
      </c>
    </row>
    <row r="487" spans="1:5" x14ac:dyDescent="0.55000000000000004">
      <c r="A487" s="1" t="s">
        <v>1366</v>
      </c>
      <c r="B487" s="1" t="s">
        <v>916</v>
      </c>
      <c r="C487" s="1" t="s">
        <v>925</v>
      </c>
      <c r="D487" s="1" t="str">
        <f t="shared" si="18"/>
        <v xml:space="preserve">059-331-2000  </v>
      </c>
      <c r="E487" s="1" t="s">
        <v>126</v>
      </c>
    </row>
    <row r="488" spans="1:5" x14ac:dyDescent="0.55000000000000004">
      <c r="A488" s="1" t="s">
        <v>1659</v>
      </c>
      <c r="B488" s="1" t="s">
        <v>916</v>
      </c>
      <c r="C488" s="1" t="s">
        <v>925</v>
      </c>
      <c r="D488" s="1" t="str">
        <f t="shared" si="18"/>
        <v xml:space="preserve">059-331-2000  </v>
      </c>
      <c r="E488" s="1" t="s">
        <v>23</v>
      </c>
    </row>
    <row r="489" spans="1:5" x14ac:dyDescent="0.55000000000000004">
      <c r="A489" s="1" t="s">
        <v>2012</v>
      </c>
      <c r="B489" s="1" t="s">
        <v>916</v>
      </c>
      <c r="C489" s="1" t="s">
        <v>925</v>
      </c>
      <c r="D489" s="1" t="str">
        <f t="shared" si="18"/>
        <v xml:space="preserve">059-331-2000  </v>
      </c>
      <c r="E489" s="1" t="s">
        <v>2013</v>
      </c>
    </row>
    <row r="490" spans="1:5" x14ac:dyDescent="0.55000000000000004">
      <c r="A490" s="1" t="s">
        <v>2019</v>
      </c>
      <c r="B490" s="1" t="s">
        <v>916</v>
      </c>
      <c r="C490" s="1" t="s">
        <v>925</v>
      </c>
      <c r="D490" s="1" t="str">
        <f t="shared" si="18"/>
        <v xml:space="preserve">059-331-2000  </v>
      </c>
      <c r="E490" s="1" t="s">
        <v>23</v>
      </c>
    </row>
    <row r="491" spans="1:5" x14ac:dyDescent="0.55000000000000004">
      <c r="A491" s="1" t="s">
        <v>2098</v>
      </c>
      <c r="B491" s="1" t="s">
        <v>916</v>
      </c>
      <c r="C491" s="1" t="s">
        <v>925</v>
      </c>
      <c r="D491" s="1" t="str">
        <f t="shared" si="18"/>
        <v xml:space="preserve">059-331-2000  </v>
      </c>
      <c r="E491" s="1" t="s">
        <v>81</v>
      </c>
    </row>
    <row r="492" spans="1:5" x14ac:dyDescent="0.55000000000000004">
      <c r="A492" s="1" t="s">
        <v>478</v>
      </c>
      <c r="B492" s="1" t="s">
        <v>479</v>
      </c>
      <c r="C492" s="1" t="s">
        <v>480</v>
      </c>
      <c r="D492" s="1" t="str">
        <f>"059-332-7911  "</f>
        <v xml:space="preserve">059-332-7911  </v>
      </c>
      <c r="E492" s="1" t="s">
        <v>7</v>
      </c>
    </row>
    <row r="493" spans="1:5" x14ac:dyDescent="0.55000000000000004">
      <c r="A493" s="1" t="s">
        <v>1686</v>
      </c>
      <c r="B493" s="1" t="s">
        <v>1687</v>
      </c>
      <c r="C493" s="1" t="s">
        <v>3094</v>
      </c>
      <c r="D493" s="1" t="str">
        <f>"059-351-2466  "</f>
        <v xml:space="preserve">059-351-2466  </v>
      </c>
      <c r="E493" s="1" t="s">
        <v>106</v>
      </c>
    </row>
    <row r="494" spans="1:5" x14ac:dyDescent="0.55000000000000004">
      <c r="A494" s="1" t="s">
        <v>1736</v>
      </c>
      <c r="B494" s="1" t="s">
        <v>1737</v>
      </c>
      <c r="C494" s="1" t="str">
        <f>"四日市市貝家町266-3"</f>
        <v>四日市市貝家町266-3</v>
      </c>
      <c r="D494" s="1" t="str">
        <f>"059-336-5672  "</f>
        <v xml:space="preserve">059-336-5672  </v>
      </c>
      <c r="E494" s="1" t="s">
        <v>10</v>
      </c>
    </row>
    <row r="495" spans="1:5" x14ac:dyDescent="0.55000000000000004">
      <c r="A495" s="1" t="s">
        <v>1728</v>
      </c>
      <c r="B495" s="1" t="s">
        <v>1729</v>
      </c>
      <c r="C495" s="1" t="s">
        <v>1730</v>
      </c>
      <c r="D495" s="1" t="str">
        <f>"059-321-0411  "</f>
        <v xml:space="preserve">059-321-0411  </v>
      </c>
      <c r="E495" s="1" t="s">
        <v>6</v>
      </c>
    </row>
    <row r="496" spans="1:5" x14ac:dyDescent="0.55000000000000004">
      <c r="A496" s="1" t="s">
        <v>685</v>
      </c>
      <c r="B496" s="1" t="s">
        <v>686</v>
      </c>
      <c r="C496" s="1" t="str">
        <f>"四日市市茂福783-3"</f>
        <v>四日市市茂福783-3</v>
      </c>
      <c r="D496" s="1" t="str">
        <f>"059-361-5566  "</f>
        <v xml:space="preserve">059-361-5566  </v>
      </c>
      <c r="E496" s="1" t="s">
        <v>299</v>
      </c>
    </row>
    <row r="497" spans="1:5" x14ac:dyDescent="0.55000000000000004">
      <c r="A497" s="1" t="s">
        <v>1358</v>
      </c>
      <c r="B497" s="1" t="s">
        <v>1442</v>
      </c>
      <c r="C497" s="1" t="s">
        <v>1443</v>
      </c>
      <c r="D497" s="1" t="str">
        <f>"059-389-7707  "</f>
        <v xml:space="preserve">059-389-7707  </v>
      </c>
      <c r="E497" s="1" t="s">
        <v>1182</v>
      </c>
    </row>
    <row r="498" spans="1:5" x14ac:dyDescent="0.55000000000000004">
      <c r="A498" s="1" t="s">
        <v>1441</v>
      </c>
      <c r="B498" s="1" t="s">
        <v>1442</v>
      </c>
      <c r="C498" s="1" t="s">
        <v>1443</v>
      </c>
      <c r="D498" s="1" t="str">
        <f>"059-389-7707  "</f>
        <v xml:space="preserve">059-389-7707  </v>
      </c>
      <c r="E498" s="1" t="s">
        <v>1182</v>
      </c>
    </row>
    <row r="499" spans="1:5" x14ac:dyDescent="0.55000000000000004">
      <c r="A499" s="1" t="s">
        <v>2072</v>
      </c>
      <c r="B499" s="1" t="s">
        <v>2073</v>
      </c>
      <c r="C499" s="1" t="str">
        <f>"鈴鹿市稲生塩屋3丁目3-23"</f>
        <v>鈴鹿市稲生塩屋3丁目3-23</v>
      </c>
      <c r="D499" s="1" t="str">
        <f>"059-388-3700  "</f>
        <v xml:space="preserve">059-388-3700  </v>
      </c>
      <c r="E499" s="1" t="s">
        <v>6</v>
      </c>
    </row>
    <row r="500" spans="1:5" x14ac:dyDescent="0.55000000000000004">
      <c r="A500" s="1" t="s">
        <v>1126</v>
      </c>
      <c r="B500" s="1" t="s">
        <v>1127</v>
      </c>
      <c r="C500" s="1" t="str">
        <f>"鈴鹿市三日市三丁目3-1"</f>
        <v>鈴鹿市三日市三丁目3-1</v>
      </c>
      <c r="D500" s="1" t="str">
        <f>"059-373-7688  "</f>
        <v xml:space="preserve">059-373-7688  </v>
      </c>
      <c r="E500" s="1" t="s">
        <v>10</v>
      </c>
    </row>
    <row r="501" spans="1:5" x14ac:dyDescent="0.55000000000000004">
      <c r="A501" s="1" t="s">
        <v>2084</v>
      </c>
      <c r="B501" s="1" t="s">
        <v>2354</v>
      </c>
      <c r="C501" s="1" t="s">
        <v>2314</v>
      </c>
      <c r="D501" s="1" t="str">
        <f>"059-389-6667  "</f>
        <v xml:space="preserve">059-389-6667  </v>
      </c>
      <c r="E501" s="1" t="s">
        <v>2315</v>
      </c>
    </row>
    <row r="502" spans="1:5" x14ac:dyDescent="0.55000000000000004">
      <c r="A502" s="1" t="s">
        <v>569</v>
      </c>
      <c r="B502" s="1" t="s">
        <v>570</v>
      </c>
      <c r="C502" s="1" t="str">
        <f>"鈴鹿市野村町200-2"</f>
        <v>鈴鹿市野村町200-2</v>
      </c>
      <c r="D502" s="1" t="str">
        <f>"059-380-4146  "</f>
        <v xml:space="preserve">059-380-4146  </v>
      </c>
      <c r="E502" s="1" t="s">
        <v>34</v>
      </c>
    </row>
    <row r="503" spans="1:5" x14ac:dyDescent="0.55000000000000004">
      <c r="A503" s="1" t="s">
        <v>618</v>
      </c>
      <c r="B503" s="1" t="s">
        <v>619</v>
      </c>
      <c r="C503" s="1" t="str">
        <f>"鈴鹿市寺家4丁目18-17"</f>
        <v>鈴鹿市寺家4丁目18-17</v>
      </c>
      <c r="D503" s="1" t="str">
        <f>"059-368-0003  "</f>
        <v xml:space="preserve">059-368-0003  </v>
      </c>
      <c r="E503" s="1" t="s">
        <v>51</v>
      </c>
    </row>
    <row r="504" spans="1:5" x14ac:dyDescent="0.55000000000000004">
      <c r="A504" s="1" t="s">
        <v>1807</v>
      </c>
      <c r="B504" s="1" t="s">
        <v>1808</v>
      </c>
      <c r="C504" s="1" t="str">
        <f>"鈴鹿市中瀬古町203-7"</f>
        <v>鈴鹿市中瀬古町203-7</v>
      </c>
      <c r="D504" s="1" t="str">
        <f>"059-372-0212  "</f>
        <v xml:space="preserve">059-372-0212  </v>
      </c>
      <c r="E504" s="1" t="s">
        <v>1809</v>
      </c>
    </row>
    <row r="505" spans="1:5" x14ac:dyDescent="0.55000000000000004">
      <c r="A505" s="1" t="s">
        <v>313</v>
      </c>
      <c r="B505" s="1" t="s">
        <v>314</v>
      </c>
      <c r="C505" s="1" t="str">
        <f>"鈴鹿市野村町165-1"</f>
        <v>鈴鹿市野村町165-1</v>
      </c>
      <c r="D505" s="1" t="str">
        <f>"059-380-1600  "</f>
        <v xml:space="preserve">059-380-1600  </v>
      </c>
      <c r="E505" s="1" t="s">
        <v>315</v>
      </c>
    </row>
    <row r="506" spans="1:5" x14ac:dyDescent="0.55000000000000004">
      <c r="A506" s="1" t="s">
        <v>2621</v>
      </c>
      <c r="B506" s="1" t="s">
        <v>2622</v>
      </c>
      <c r="C506" s="1" t="str">
        <f>"鈴鹿市住吉2丁目17-7"</f>
        <v>鈴鹿市住吉2丁目17-7</v>
      </c>
      <c r="D506" s="1" t="str">
        <f>"059-375-6111  "</f>
        <v xml:space="preserve">059-375-6111  </v>
      </c>
      <c r="E506" s="1" t="s">
        <v>2623</v>
      </c>
    </row>
    <row r="507" spans="1:5" x14ac:dyDescent="0.55000000000000004">
      <c r="A507" s="1" t="s">
        <v>1823</v>
      </c>
      <c r="B507" s="1" t="s">
        <v>1824</v>
      </c>
      <c r="C507" s="1" t="str">
        <f>"鈴鹿市野村町168-1"</f>
        <v>鈴鹿市野村町168-1</v>
      </c>
      <c r="D507" s="1" t="str">
        <f>"059-380-4112  "</f>
        <v xml:space="preserve">059-380-4112  </v>
      </c>
      <c r="E507" s="1" t="s">
        <v>1825</v>
      </c>
    </row>
    <row r="508" spans="1:5" x14ac:dyDescent="0.55000000000000004">
      <c r="A508" s="1" t="s">
        <v>1955</v>
      </c>
      <c r="B508" s="1" t="s">
        <v>1956</v>
      </c>
      <c r="C508" s="1" t="str">
        <f>"鈴鹿市柳町字森1665-2"</f>
        <v>鈴鹿市柳町字森1665-2</v>
      </c>
      <c r="D508" s="1" t="str">
        <f>"059-383-1000  "</f>
        <v xml:space="preserve">059-383-1000  </v>
      </c>
      <c r="E508" s="1" t="s">
        <v>1957</v>
      </c>
    </row>
    <row r="509" spans="1:5" x14ac:dyDescent="0.55000000000000004">
      <c r="A509" s="1" t="s">
        <v>330</v>
      </c>
      <c r="B509" s="1" t="s">
        <v>331</v>
      </c>
      <c r="C509" s="1" t="str">
        <f>"鈴鹿市道伯町2065-5"</f>
        <v>鈴鹿市道伯町2065-5</v>
      </c>
      <c r="D509" s="1" t="str">
        <f>"059-375-0225  "</f>
        <v xml:space="preserve">059-375-0225  </v>
      </c>
      <c r="E509" s="1" t="s">
        <v>299</v>
      </c>
    </row>
    <row r="510" spans="1:5" x14ac:dyDescent="0.55000000000000004">
      <c r="A510" s="1" t="s">
        <v>2465</v>
      </c>
      <c r="B510" s="1" t="s">
        <v>2466</v>
      </c>
      <c r="C510" s="1" t="str">
        <f>"鈴鹿市東旭が丘一丁目6-21"</f>
        <v>鈴鹿市東旭が丘一丁目6-21</v>
      </c>
      <c r="D510" s="1" t="str">
        <f>"059-368-0055  "</f>
        <v xml:space="preserve">059-368-0055  </v>
      </c>
      <c r="E510" s="1" t="s">
        <v>14</v>
      </c>
    </row>
    <row r="511" spans="1:5" x14ac:dyDescent="0.55000000000000004">
      <c r="A511" s="1" t="s">
        <v>2046</v>
      </c>
      <c r="B511" s="1" t="s">
        <v>2047</v>
      </c>
      <c r="C511" s="1" t="str">
        <f>"鈴鹿市三日市町1962-1"</f>
        <v>鈴鹿市三日市町1962-1</v>
      </c>
      <c r="D511" s="1" t="str">
        <f>"059-382-2111  "</f>
        <v xml:space="preserve">059-382-2111  </v>
      </c>
      <c r="E511" s="1" t="s">
        <v>2048</v>
      </c>
    </row>
    <row r="512" spans="1:5" x14ac:dyDescent="0.55000000000000004">
      <c r="A512" s="1" t="s">
        <v>591</v>
      </c>
      <c r="B512" s="1" t="s">
        <v>592</v>
      </c>
      <c r="C512" s="1" t="str">
        <f>"鈴鹿市安塚町宮塚1651-3"</f>
        <v>鈴鹿市安塚町宮塚1651-3</v>
      </c>
      <c r="D512" s="1" t="str">
        <f>"059-381-0600  "</f>
        <v xml:space="preserve">059-381-0600  </v>
      </c>
      <c r="E512" s="1" t="s">
        <v>6</v>
      </c>
    </row>
    <row r="513" spans="1:5" x14ac:dyDescent="0.55000000000000004">
      <c r="A513" s="1" t="s">
        <v>3017</v>
      </c>
      <c r="B513" s="1" t="s">
        <v>3018</v>
      </c>
      <c r="C513" s="1" t="str">
        <f>"鈴鹿市北玉垣町823-3"</f>
        <v>鈴鹿市北玉垣町823-3</v>
      </c>
      <c r="D513" s="1" t="str">
        <f>"059-389-6161  "</f>
        <v xml:space="preserve">059-389-6161  </v>
      </c>
      <c r="E513" s="1" t="s">
        <v>3019</v>
      </c>
    </row>
    <row r="514" spans="1:5" x14ac:dyDescent="0.55000000000000004">
      <c r="A514" s="1" t="s">
        <v>2276</v>
      </c>
      <c r="B514" s="1" t="s">
        <v>2277</v>
      </c>
      <c r="C514" s="1" t="s">
        <v>3077</v>
      </c>
      <c r="D514" s="1" t="str">
        <f>"059-380-1200  "</f>
        <v xml:space="preserve">059-380-1200  </v>
      </c>
      <c r="E514" s="1" t="s">
        <v>14</v>
      </c>
    </row>
    <row r="515" spans="1:5" x14ac:dyDescent="0.55000000000000004">
      <c r="A515" s="1" t="s">
        <v>2135</v>
      </c>
      <c r="B515" s="1" t="s">
        <v>2136</v>
      </c>
      <c r="C515" s="1" t="str">
        <f>"鈴鹿市石薬師町2159-1"</f>
        <v>鈴鹿市石薬師町2159-1</v>
      </c>
      <c r="D515" s="1" t="str">
        <f>"059-374-0020  "</f>
        <v xml:space="preserve">059-374-0020  </v>
      </c>
      <c r="E515" s="1" t="s">
        <v>2137</v>
      </c>
    </row>
    <row r="516" spans="1:5" x14ac:dyDescent="0.55000000000000004">
      <c r="A516" s="1" t="s">
        <v>2231</v>
      </c>
      <c r="B516" s="1" t="s">
        <v>2232</v>
      </c>
      <c r="C516" s="1" t="str">
        <f>"鈴鹿市柳町1657-1"</f>
        <v>鈴鹿市柳町1657-1</v>
      </c>
      <c r="D516" s="1" t="str">
        <f>"059-381-3535  "</f>
        <v xml:space="preserve">059-381-3535  </v>
      </c>
      <c r="E516" s="1" t="s">
        <v>6</v>
      </c>
    </row>
    <row r="517" spans="1:5" x14ac:dyDescent="0.55000000000000004">
      <c r="A517" s="1" t="s">
        <v>2027</v>
      </c>
      <c r="B517" s="1" t="s">
        <v>2028</v>
      </c>
      <c r="C517" s="1" t="s">
        <v>2029</v>
      </c>
      <c r="D517" s="1" t="str">
        <f>"059-382-7272  "</f>
        <v xml:space="preserve">059-382-7272  </v>
      </c>
      <c r="E517" s="1" t="s">
        <v>14</v>
      </c>
    </row>
    <row r="518" spans="1:5" x14ac:dyDescent="0.55000000000000004">
      <c r="A518" s="1" t="s">
        <v>295</v>
      </c>
      <c r="B518" s="1" t="s">
        <v>296</v>
      </c>
      <c r="C518" s="1" t="str">
        <f>"鈴鹿市飯野寺家町817-3"</f>
        <v>鈴鹿市飯野寺家町817-3</v>
      </c>
      <c r="D518" s="1" t="str">
        <f>"059-369-0001  "</f>
        <v xml:space="preserve">059-369-0001  </v>
      </c>
      <c r="E518" s="1" t="s">
        <v>153</v>
      </c>
    </row>
    <row r="519" spans="1:5" x14ac:dyDescent="0.55000000000000004">
      <c r="A519" s="1" t="s">
        <v>1559</v>
      </c>
      <c r="B519" s="1" t="s">
        <v>1560</v>
      </c>
      <c r="C519" s="1" t="str">
        <f>"鈴鹿市御薗町5328-1"</f>
        <v>鈴鹿市御薗町5328-1</v>
      </c>
      <c r="D519" s="1" t="str">
        <f>"059-372-8778  "</f>
        <v xml:space="preserve">059-372-8778  </v>
      </c>
      <c r="E519" s="1" t="s">
        <v>6</v>
      </c>
    </row>
    <row r="520" spans="1:5" x14ac:dyDescent="0.55000000000000004">
      <c r="A520" s="1" t="s">
        <v>1501</v>
      </c>
      <c r="B520" s="1" t="s">
        <v>1502</v>
      </c>
      <c r="C520" s="1" t="str">
        <f>"鈴鹿市柳町1659-1"</f>
        <v>鈴鹿市柳町1659-1</v>
      </c>
      <c r="D520" s="1" t="str">
        <f>"059-381-3387  "</f>
        <v xml:space="preserve">059-381-3387  </v>
      </c>
      <c r="E520" s="1" t="s">
        <v>22</v>
      </c>
    </row>
    <row r="521" spans="1:5" x14ac:dyDescent="0.55000000000000004">
      <c r="A521" s="1" t="s">
        <v>1572</v>
      </c>
      <c r="B521" s="1" t="s">
        <v>1573</v>
      </c>
      <c r="C521" s="1" t="s">
        <v>1574</v>
      </c>
      <c r="D521" s="1" t="str">
        <f>"059-373-6672  "</f>
        <v xml:space="preserve">059-373-6672  </v>
      </c>
      <c r="E521" s="1" t="s">
        <v>6</v>
      </c>
    </row>
    <row r="522" spans="1:5" x14ac:dyDescent="0.55000000000000004">
      <c r="A522" s="1" t="s">
        <v>1952</v>
      </c>
      <c r="B522" s="1" t="s">
        <v>1953</v>
      </c>
      <c r="C522" s="1" t="str">
        <f>"鈴鹿市東旭が丘3-2-10"</f>
        <v>鈴鹿市東旭が丘3-2-10</v>
      </c>
      <c r="D522" s="1" t="str">
        <f>"059-386-1222  "</f>
        <v xml:space="preserve">059-386-1222  </v>
      </c>
      <c r="E522" s="1" t="s">
        <v>6</v>
      </c>
    </row>
    <row r="523" spans="1:5" x14ac:dyDescent="0.55000000000000004">
      <c r="A523" s="1" t="s">
        <v>860</v>
      </c>
      <c r="B523" s="1" t="s">
        <v>861</v>
      </c>
      <c r="C523" s="1" t="s">
        <v>862</v>
      </c>
      <c r="D523" s="1" t="str">
        <f>"059-384-5111  "</f>
        <v xml:space="preserve">059-384-5111  </v>
      </c>
      <c r="E523" s="1" t="s">
        <v>111</v>
      </c>
    </row>
    <row r="524" spans="1:5" x14ac:dyDescent="0.55000000000000004">
      <c r="A524" s="1" t="s">
        <v>1991</v>
      </c>
      <c r="B524" s="1" t="s">
        <v>1992</v>
      </c>
      <c r="C524" s="1" t="str">
        <f>"鈴鹿市白子駅前35-3"</f>
        <v>鈴鹿市白子駅前35-3</v>
      </c>
      <c r="D524" s="1" t="str">
        <f>"059-386-0605  "</f>
        <v xml:space="preserve">059-386-0605  </v>
      </c>
      <c r="E524" s="1" t="s">
        <v>299</v>
      </c>
    </row>
    <row r="525" spans="1:5" x14ac:dyDescent="0.55000000000000004">
      <c r="A525" s="1" t="s">
        <v>1746</v>
      </c>
      <c r="B525" s="1" t="s">
        <v>1747</v>
      </c>
      <c r="C525" s="1" t="s">
        <v>1748</v>
      </c>
      <c r="D525" s="1" t="str">
        <f>"059-378-3113  "</f>
        <v xml:space="preserve">059-378-3113  </v>
      </c>
      <c r="E525" s="1" t="s">
        <v>1749</v>
      </c>
    </row>
    <row r="526" spans="1:5" x14ac:dyDescent="0.55000000000000004">
      <c r="A526" s="1" t="s">
        <v>2312</v>
      </c>
      <c r="B526" s="1" t="s">
        <v>2313</v>
      </c>
      <c r="C526" s="1" t="s">
        <v>2314</v>
      </c>
      <c r="D526" s="1" t="str">
        <f>"059-389-6667  "</f>
        <v xml:space="preserve">059-389-6667  </v>
      </c>
      <c r="E526" s="1" t="s">
        <v>2315</v>
      </c>
    </row>
    <row r="527" spans="1:5" x14ac:dyDescent="0.55000000000000004">
      <c r="A527" s="1" t="s">
        <v>2337</v>
      </c>
      <c r="B527" s="1" t="s">
        <v>2313</v>
      </c>
      <c r="C527" s="1" t="s">
        <v>2314</v>
      </c>
      <c r="D527" s="1" t="str">
        <f>"059-389-6667  "</f>
        <v xml:space="preserve">059-389-6667  </v>
      </c>
      <c r="E527" s="1" t="s">
        <v>34</v>
      </c>
    </row>
    <row r="528" spans="1:5" x14ac:dyDescent="0.55000000000000004">
      <c r="A528" s="1" t="s">
        <v>1691</v>
      </c>
      <c r="B528" s="1" t="s">
        <v>1692</v>
      </c>
      <c r="C528" s="1" t="str">
        <f>"鈴鹿市南江島町4-15"</f>
        <v>鈴鹿市南江島町4-15</v>
      </c>
      <c r="D528" s="1" t="str">
        <f>"059-386-1611  "</f>
        <v xml:space="preserve">059-386-1611  </v>
      </c>
      <c r="E528" s="1" t="s">
        <v>34</v>
      </c>
    </row>
    <row r="529" spans="1:5" x14ac:dyDescent="0.55000000000000004">
      <c r="A529" s="1" t="s">
        <v>941</v>
      </c>
      <c r="B529" s="1" t="s">
        <v>942</v>
      </c>
      <c r="C529" s="1" t="s">
        <v>943</v>
      </c>
      <c r="D529" s="1" t="str">
        <f>"059-383-3933  "</f>
        <v xml:space="preserve">059-383-3933  </v>
      </c>
      <c r="E529" s="1" t="s">
        <v>10</v>
      </c>
    </row>
    <row r="530" spans="1:5" x14ac:dyDescent="0.55000000000000004">
      <c r="A530" s="1" t="s">
        <v>2591</v>
      </c>
      <c r="B530" s="1" t="s">
        <v>2592</v>
      </c>
      <c r="C530" s="1" t="str">
        <f>"鈴鹿市加佐登2-20-1"</f>
        <v>鈴鹿市加佐登2-20-1</v>
      </c>
      <c r="D530" s="1" t="str">
        <f>"059-379-3900  "</f>
        <v xml:space="preserve">059-379-3900  </v>
      </c>
      <c r="E530" s="1" t="s">
        <v>2593</v>
      </c>
    </row>
    <row r="531" spans="1:5" x14ac:dyDescent="0.55000000000000004">
      <c r="A531" s="1" t="s">
        <v>1906</v>
      </c>
      <c r="B531" s="1" t="s">
        <v>1907</v>
      </c>
      <c r="C531" s="1" t="str">
        <f>"鈴鹿市中江島町14-18"</f>
        <v>鈴鹿市中江島町14-18</v>
      </c>
      <c r="D531" s="1" t="str">
        <f>"059-388-3115  "</f>
        <v xml:space="preserve">059-388-3115  </v>
      </c>
      <c r="E531" s="1" t="s">
        <v>147</v>
      </c>
    </row>
    <row r="532" spans="1:5" x14ac:dyDescent="0.55000000000000004">
      <c r="A532" s="1" t="s">
        <v>904</v>
      </c>
      <c r="B532" s="1" t="s">
        <v>905</v>
      </c>
      <c r="C532" s="1" t="str">
        <f>"鈴鹿市白子駅前12-25"</f>
        <v>鈴鹿市白子駅前12-25</v>
      </c>
      <c r="D532" s="1" t="str">
        <f>"059-386-7768  "</f>
        <v xml:space="preserve">059-386-7768  </v>
      </c>
      <c r="E532" s="1" t="s">
        <v>6</v>
      </c>
    </row>
    <row r="533" spans="1:5" x14ac:dyDescent="0.55000000000000004">
      <c r="A533" s="1" t="s">
        <v>3023</v>
      </c>
      <c r="B533" s="1" t="s">
        <v>3024</v>
      </c>
      <c r="C533" s="1" t="s">
        <v>3025</v>
      </c>
      <c r="D533" s="1" t="str">
        <f>"059-382-1504  "</f>
        <v xml:space="preserve">059-382-1504  </v>
      </c>
      <c r="E533" s="1" t="s">
        <v>3026</v>
      </c>
    </row>
    <row r="534" spans="1:5" x14ac:dyDescent="0.55000000000000004">
      <c r="A534" s="1" t="s">
        <v>2759</v>
      </c>
      <c r="B534" s="1" t="s">
        <v>307</v>
      </c>
      <c r="C534" s="1" t="s">
        <v>2760</v>
      </c>
      <c r="D534" s="1" t="str">
        <f>"059-378-7107  "</f>
        <v xml:space="preserve">059-378-7107  </v>
      </c>
      <c r="E534" s="1" t="s">
        <v>65</v>
      </c>
    </row>
    <row r="535" spans="1:5" x14ac:dyDescent="0.55000000000000004">
      <c r="A535" s="1" t="s">
        <v>492</v>
      </c>
      <c r="B535" s="1" t="s">
        <v>493</v>
      </c>
      <c r="C535" s="1" t="str">
        <f>"鈴鹿市算所2丁目14-19"</f>
        <v>鈴鹿市算所2丁目14-19</v>
      </c>
      <c r="D535" s="1" t="str">
        <f>"059-367-0101  "</f>
        <v xml:space="preserve">059-367-0101  </v>
      </c>
      <c r="E535" s="1" t="s">
        <v>34</v>
      </c>
    </row>
    <row r="536" spans="1:5" x14ac:dyDescent="0.55000000000000004">
      <c r="A536" s="1" t="s">
        <v>1898</v>
      </c>
      <c r="B536" s="1" t="s">
        <v>1899</v>
      </c>
      <c r="C536" s="1" t="str">
        <f>"鈴鹿市伊船町2229-8"</f>
        <v>鈴鹿市伊船町2229-8</v>
      </c>
      <c r="D536" s="1" t="str">
        <f>"059-371-6800  "</f>
        <v xml:space="preserve">059-371-6800  </v>
      </c>
      <c r="E536" s="1" t="s">
        <v>1900</v>
      </c>
    </row>
    <row r="537" spans="1:5" x14ac:dyDescent="0.55000000000000004">
      <c r="A537" s="1" t="s">
        <v>269</v>
      </c>
      <c r="B537" s="1" t="s">
        <v>270</v>
      </c>
      <c r="C537" s="1" t="str">
        <f>"鈴鹿市西条1丁目17-15"</f>
        <v>鈴鹿市西条1丁目17-15</v>
      </c>
      <c r="D537" s="1" t="str">
        <f>"059-381-0011  "</f>
        <v xml:space="preserve">059-381-0011  </v>
      </c>
      <c r="E537" s="1" t="s">
        <v>233</v>
      </c>
    </row>
    <row r="538" spans="1:5" x14ac:dyDescent="0.55000000000000004">
      <c r="A538" s="1" t="s">
        <v>675</v>
      </c>
      <c r="B538" s="1" t="s">
        <v>676</v>
      </c>
      <c r="C538" s="1" t="str">
        <f>"鈴鹿市秋永町652-1"</f>
        <v>鈴鹿市秋永町652-1</v>
      </c>
      <c r="D538" s="1" t="str">
        <f>"059-380-1800  "</f>
        <v xml:space="preserve">059-380-1800  </v>
      </c>
      <c r="E538" s="1" t="s">
        <v>677</v>
      </c>
    </row>
    <row r="539" spans="1:5" x14ac:dyDescent="0.55000000000000004">
      <c r="A539" s="1" t="s">
        <v>629</v>
      </c>
      <c r="B539" s="1" t="s">
        <v>630</v>
      </c>
      <c r="C539" s="1" t="str">
        <f>"鈴鹿市白子1-1-7"</f>
        <v>鈴鹿市白子1-1-7</v>
      </c>
      <c r="D539" s="1" t="str">
        <f>"059-386-0362  "</f>
        <v xml:space="preserve">059-386-0362  </v>
      </c>
      <c r="E539" s="1" t="s">
        <v>389</v>
      </c>
    </row>
    <row r="540" spans="1:5" x14ac:dyDescent="0.55000000000000004">
      <c r="A540" s="1" t="s">
        <v>2795</v>
      </c>
      <c r="B540" s="1" t="s">
        <v>2796</v>
      </c>
      <c r="C540" s="1" t="s">
        <v>2797</v>
      </c>
      <c r="D540" s="1" t="str">
        <f>"059-383-1661  "</f>
        <v xml:space="preserve">059-383-1661  </v>
      </c>
      <c r="E540" s="1" t="s">
        <v>6</v>
      </c>
    </row>
    <row r="541" spans="1:5" x14ac:dyDescent="0.55000000000000004">
      <c r="A541" s="1" t="s">
        <v>2295</v>
      </c>
      <c r="B541" s="1" t="s">
        <v>2296</v>
      </c>
      <c r="C541" s="1" t="str">
        <f>"鈴鹿市道伯5丁目24-19"</f>
        <v>鈴鹿市道伯5丁目24-19</v>
      </c>
      <c r="D541" s="1" t="str">
        <f>"059-370-5500  "</f>
        <v xml:space="preserve">059-370-5500  </v>
      </c>
      <c r="E541" s="1" t="s">
        <v>1191</v>
      </c>
    </row>
    <row r="542" spans="1:5" x14ac:dyDescent="0.55000000000000004">
      <c r="A542" s="1" t="s">
        <v>2912</v>
      </c>
      <c r="B542" s="1" t="s">
        <v>2913</v>
      </c>
      <c r="C542" s="1" t="str">
        <f>"鈴鹿市桜島町4丁目3-5"</f>
        <v>鈴鹿市桜島町4丁目3-5</v>
      </c>
      <c r="D542" s="1" t="str">
        <f>"059-382-5007  "</f>
        <v xml:space="preserve">059-382-5007  </v>
      </c>
      <c r="E542" s="1" t="s">
        <v>2914</v>
      </c>
    </row>
    <row r="543" spans="1:5" x14ac:dyDescent="0.55000000000000004">
      <c r="A543" s="1" t="s">
        <v>2071</v>
      </c>
      <c r="B543" s="1" t="s">
        <v>91</v>
      </c>
      <c r="C543" s="1" t="str">
        <f t="shared" ref="C543:C559" si="19">"鈴鹿市神戸三丁目12-10"</f>
        <v>鈴鹿市神戸三丁目12-10</v>
      </c>
      <c r="D543" s="1" t="str">
        <f t="shared" ref="D543:D559" si="20">"059-382-0330  "</f>
        <v xml:space="preserve">059-382-0330  </v>
      </c>
      <c r="E543" s="1" t="s">
        <v>14</v>
      </c>
    </row>
    <row r="544" spans="1:5" x14ac:dyDescent="0.55000000000000004">
      <c r="A544" s="1" t="s">
        <v>2415</v>
      </c>
      <c r="B544" s="1" t="s">
        <v>91</v>
      </c>
      <c r="C544" s="1" t="str">
        <f t="shared" si="19"/>
        <v>鈴鹿市神戸三丁目12-10</v>
      </c>
      <c r="D544" s="1" t="str">
        <f t="shared" si="20"/>
        <v xml:space="preserve">059-382-0330  </v>
      </c>
      <c r="E544" s="1" t="s">
        <v>6</v>
      </c>
    </row>
    <row r="545" spans="1:5" x14ac:dyDescent="0.55000000000000004">
      <c r="A545" s="1" t="s">
        <v>2928</v>
      </c>
      <c r="B545" s="1" t="s">
        <v>91</v>
      </c>
      <c r="C545" s="1" t="str">
        <f t="shared" si="19"/>
        <v>鈴鹿市神戸三丁目12-10</v>
      </c>
      <c r="D545" s="1" t="str">
        <f t="shared" si="20"/>
        <v xml:space="preserve">059-382-0330  </v>
      </c>
      <c r="E545" s="1" t="s">
        <v>19</v>
      </c>
    </row>
    <row r="546" spans="1:5" x14ac:dyDescent="0.55000000000000004">
      <c r="A546" s="1" t="s">
        <v>729</v>
      </c>
      <c r="B546" s="1" t="s">
        <v>91</v>
      </c>
      <c r="C546" s="1" t="str">
        <f t="shared" si="19"/>
        <v>鈴鹿市神戸三丁目12-10</v>
      </c>
      <c r="D546" s="1" t="str">
        <f t="shared" si="20"/>
        <v xml:space="preserve">059-382-0330  </v>
      </c>
      <c r="E546" s="1" t="s">
        <v>6</v>
      </c>
    </row>
    <row r="547" spans="1:5" x14ac:dyDescent="0.55000000000000004">
      <c r="A547" s="1" t="s">
        <v>783</v>
      </c>
      <c r="B547" s="1" t="s">
        <v>91</v>
      </c>
      <c r="C547" s="1" t="str">
        <f t="shared" si="19"/>
        <v>鈴鹿市神戸三丁目12-10</v>
      </c>
      <c r="D547" s="1" t="str">
        <f t="shared" si="20"/>
        <v xml:space="preserve">059-382-0330  </v>
      </c>
      <c r="E547" s="1" t="s">
        <v>6</v>
      </c>
    </row>
    <row r="548" spans="1:5" x14ac:dyDescent="0.55000000000000004">
      <c r="A548" s="1" t="s">
        <v>968</v>
      </c>
      <c r="B548" s="1" t="s">
        <v>91</v>
      </c>
      <c r="C548" s="1" t="str">
        <f t="shared" si="19"/>
        <v>鈴鹿市神戸三丁目12-10</v>
      </c>
      <c r="D548" s="1" t="str">
        <f t="shared" si="20"/>
        <v xml:space="preserve">059-382-0330  </v>
      </c>
      <c r="E548" s="1" t="s">
        <v>6</v>
      </c>
    </row>
    <row r="549" spans="1:5" x14ac:dyDescent="0.55000000000000004">
      <c r="A549" s="1" t="s">
        <v>971</v>
      </c>
      <c r="B549" s="1" t="s">
        <v>91</v>
      </c>
      <c r="C549" s="1" t="str">
        <f t="shared" si="19"/>
        <v>鈴鹿市神戸三丁目12-10</v>
      </c>
      <c r="D549" s="1" t="str">
        <f t="shared" si="20"/>
        <v xml:space="preserve">059-382-0330  </v>
      </c>
      <c r="E549" s="1" t="s">
        <v>14</v>
      </c>
    </row>
    <row r="550" spans="1:5" x14ac:dyDescent="0.55000000000000004">
      <c r="A550" s="1" t="s">
        <v>972</v>
      </c>
      <c r="B550" s="1" t="s">
        <v>91</v>
      </c>
      <c r="C550" s="1" t="str">
        <f t="shared" si="19"/>
        <v>鈴鹿市神戸三丁目12-10</v>
      </c>
      <c r="D550" s="1" t="str">
        <f t="shared" si="20"/>
        <v xml:space="preserve">059-382-0330  </v>
      </c>
      <c r="E550" s="1" t="s">
        <v>14</v>
      </c>
    </row>
    <row r="551" spans="1:5" x14ac:dyDescent="0.55000000000000004">
      <c r="A551" s="1" t="s">
        <v>988</v>
      </c>
      <c r="B551" s="1" t="s">
        <v>91</v>
      </c>
      <c r="C551" s="1" t="str">
        <f t="shared" si="19"/>
        <v>鈴鹿市神戸三丁目12-10</v>
      </c>
      <c r="D551" s="1" t="str">
        <f t="shared" si="20"/>
        <v xml:space="preserve">059-382-0330  </v>
      </c>
      <c r="E551" s="1" t="s">
        <v>6</v>
      </c>
    </row>
    <row r="552" spans="1:5" x14ac:dyDescent="0.55000000000000004">
      <c r="A552" s="1" t="s">
        <v>1009</v>
      </c>
      <c r="B552" s="1" t="s">
        <v>91</v>
      </c>
      <c r="C552" s="1" t="str">
        <f t="shared" si="19"/>
        <v>鈴鹿市神戸三丁目12-10</v>
      </c>
      <c r="D552" s="1" t="str">
        <f t="shared" si="20"/>
        <v xml:space="preserve">059-382-0330  </v>
      </c>
      <c r="E552" s="1" t="s">
        <v>14</v>
      </c>
    </row>
    <row r="553" spans="1:5" x14ac:dyDescent="0.55000000000000004">
      <c r="A553" s="1" t="s">
        <v>2909</v>
      </c>
      <c r="B553" s="1" t="s">
        <v>91</v>
      </c>
      <c r="C553" s="1" t="str">
        <f t="shared" si="19"/>
        <v>鈴鹿市神戸三丁目12-10</v>
      </c>
      <c r="D553" s="1" t="str">
        <f t="shared" si="20"/>
        <v xml:space="preserve">059-382-0330  </v>
      </c>
      <c r="E553" s="1" t="s">
        <v>6</v>
      </c>
    </row>
    <row r="554" spans="1:5" x14ac:dyDescent="0.55000000000000004">
      <c r="A554" s="1" t="s">
        <v>1142</v>
      </c>
      <c r="B554" s="1" t="s">
        <v>91</v>
      </c>
      <c r="C554" s="1" t="str">
        <f t="shared" si="19"/>
        <v>鈴鹿市神戸三丁目12-10</v>
      </c>
      <c r="D554" s="1" t="str">
        <f t="shared" si="20"/>
        <v xml:space="preserve">059-382-0330  </v>
      </c>
      <c r="E554" s="1" t="s">
        <v>23</v>
      </c>
    </row>
    <row r="555" spans="1:5" x14ac:dyDescent="0.55000000000000004">
      <c r="A555" s="1" t="s">
        <v>1362</v>
      </c>
      <c r="B555" s="1" t="s">
        <v>91</v>
      </c>
      <c r="C555" s="1" t="str">
        <f t="shared" si="19"/>
        <v>鈴鹿市神戸三丁目12-10</v>
      </c>
      <c r="D555" s="1" t="str">
        <f t="shared" si="20"/>
        <v xml:space="preserve">059-382-0330  </v>
      </c>
      <c r="E555" s="1" t="s">
        <v>6</v>
      </c>
    </row>
    <row r="556" spans="1:5" x14ac:dyDescent="0.55000000000000004">
      <c r="A556" s="1" t="s">
        <v>1363</v>
      </c>
      <c r="B556" s="1" t="s">
        <v>91</v>
      </c>
      <c r="C556" s="1" t="str">
        <f t="shared" si="19"/>
        <v>鈴鹿市神戸三丁目12-10</v>
      </c>
      <c r="D556" s="1" t="str">
        <f t="shared" si="20"/>
        <v xml:space="preserve">059-382-0330  </v>
      </c>
      <c r="E556" s="1" t="s">
        <v>126</v>
      </c>
    </row>
    <row r="557" spans="1:5" x14ac:dyDescent="0.55000000000000004">
      <c r="A557" s="1" t="s">
        <v>1602</v>
      </c>
      <c r="B557" s="1" t="s">
        <v>91</v>
      </c>
      <c r="C557" s="1" t="str">
        <f t="shared" si="19"/>
        <v>鈴鹿市神戸三丁目12-10</v>
      </c>
      <c r="D557" s="1" t="str">
        <f t="shared" si="20"/>
        <v xml:space="preserve">059-382-0330  </v>
      </c>
      <c r="E557" s="1" t="s">
        <v>14</v>
      </c>
    </row>
    <row r="558" spans="1:5" x14ac:dyDescent="0.55000000000000004">
      <c r="A558" s="1" t="s">
        <v>3042</v>
      </c>
      <c r="B558" s="1" t="s">
        <v>91</v>
      </c>
      <c r="C558" s="1" t="str">
        <f t="shared" si="19"/>
        <v>鈴鹿市神戸三丁目12-10</v>
      </c>
      <c r="D558" s="1" t="str">
        <f t="shared" si="20"/>
        <v xml:space="preserve">059-382-0330  </v>
      </c>
      <c r="E558" s="1" t="s">
        <v>717</v>
      </c>
    </row>
    <row r="559" spans="1:5" x14ac:dyDescent="0.55000000000000004">
      <c r="A559" s="1" t="s">
        <v>1835</v>
      </c>
      <c r="B559" s="1" t="s">
        <v>91</v>
      </c>
      <c r="C559" s="1" t="str">
        <f t="shared" si="19"/>
        <v>鈴鹿市神戸三丁目12-10</v>
      </c>
      <c r="D559" s="1" t="str">
        <f t="shared" si="20"/>
        <v xml:space="preserve">059-382-0330  </v>
      </c>
      <c r="E559" s="1" t="s">
        <v>216</v>
      </c>
    </row>
    <row r="560" spans="1:5" x14ac:dyDescent="0.55000000000000004">
      <c r="A560" s="1" t="s">
        <v>2035</v>
      </c>
      <c r="B560" s="1" t="s">
        <v>517</v>
      </c>
      <c r="C560" s="1" t="str">
        <f>"鈴鹿市平田1丁目3-7"</f>
        <v>鈴鹿市平田1丁目3-7</v>
      </c>
      <c r="D560" s="1" t="str">
        <f>"059-378-1417  "</f>
        <v xml:space="preserve">059-378-1417  </v>
      </c>
      <c r="E560" s="1" t="s">
        <v>111</v>
      </c>
    </row>
    <row r="561" spans="1:5" x14ac:dyDescent="0.55000000000000004">
      <c r="A561" s="1" t="s">
        <v>2556</v>
      </c>
      <c r="B561" s="1" t="s">
        <v>517</v>
      </c>
      <c r="C561" s="1" t="s">
        <v>518</v>
      </c>
      <c r="D561" s="1" t="str">
        <f>"059-378-1417  "</f>
        <v xml:space="preserve">059-378-1417  </v>
      </c>
      <c r="E561" s="1" t="s">
        <v>519</v>
      </c>
    </row>
    <row r="562" spans="1:5" x14ac:dyDescent="0.55000000000000004">
      <c r="A562" s="1" t="s">
        <v>516</v>
      </c>
      <c r="B562" s="1" t="s">
        <v>517</v>
      </c>
      <c r="C562" s="1" t="s">
        <v>518</v>
      </c>
      <c r="D562" s="1" t="str">
        <f>"059-378-1417  "</f>
        <v xml:space="preserve">059-378-1417  </v>
      </c>
      <c r="E562" s="1" t="s">
        <v>519</v>
      </c>
    </row>
    <row r="563" spans="1:5" x14ac:dyDescent="0.55000000000000004">
      <c r="A563" s="1" t="s">
        <v>567</v>
      </c>
      <c r="B563" s="1" t="s">
        <v>568</v>
      </c>
      <c r="C563" s="1" t="str">
        <f>"鈴鹿市桜島町二丁目1-2"</f>
        <v>鈴鹿市桜島町二丁目1-2</v>
      </c>
      <c r="D563" s="1" t="str">
        <f>"059-381-2727  "</f>
        <v xml:space="preserve">059-381-2727  </v>
      </c>
      <c r="E563" s="1" t="s">
        <v>233</v>
      </c>
    </row>
    <row r="564" spans="1:5" x14ac:dyDescent="0.55000000000000004">
      <c r="A564" s="1" t="s">
        <v>543</v>
      </c>
      <c r="B564" s="1" t="s">
        <v>544</v>
      </c>
      <c r="C564" s="1" t="s">
        <v>545</v>
      </c>
      <c r="D564" s="1" t="str">
        <f>"059-370-5234  "</f>
        <v xml:space="preserve">059-370-5234  </v>
      </c>
      <c r="E564" s="1" t="s">
        <v>6</v>
      </c>
    </row>
    <row r="565" spans="1:5" x14ac:dyDescent="0.55000000000000004">
      <c r="A565" s="1" t="s">
        <v>939</v>
      </c>
      <c r="B565" s="1" t="s">
        <v>940</v>
      </c>
      <c r="C565" s="1" t="str">
        <f>"鈴鹿市南江島町5-8"</f>
        <v>鈴鹿市南江島町5-8</v>
      </c>
      <c r="D565" s="1" t="str">
        <f>"059-388-8778  "</f>
        <v xml:space="preserve">059-388-8778  </v>
      </c>
      <c r="E565" s="1" t="s">
        <v>55</v>
      </c>
    </row>
    <row r="566" spans="1:5" x14ac:dyDescent="0.55000000000000004">
      <c r="A566" s="1" t="s">
        <v>703</v>
      </c>
      <c r="B566" s="1" t="s">
        <v>704</v>
      </c>
      <c r="C566" s="1" t="str">
        <f>"鈴鹿市白子駅前2-20"</f>
        <v>鈴鹿市白子駅前2-20</v>
      </c>
      <c r="D566" s="1" t="str">
        <f>"059-388-0606  "</f>
        <v xml:space="preserve">059-388-0606  </v>
      </c>
      <c r="E566" s="1" t="s">
        <v>34</v>
      </c>
    </row>
    <row r="567" spans="1:5" x14ac:dyDescent="0.55000000000000004">
      <c r="A567" s="1" t="s">
        <v>2945</v>
      </c>
      <c r="B567" s="1" t="s">
        <v>739</v>
      </c>
      <c r="C567" s="1" t="s">
        <v>740</v>
      </c>
      <c r="D567" s="1" t="str">
        <f>"059-389-6660  "</f>
        <v xml:space="preserve">059-389-6660  </v>
      </c>
      <c r="E567" s="1" t="s">
        <v>2237</v>
      </c>
    </row>
    <row r="568" spans="1:5" x14ac:dyDescent="0.55000000000000004">
      <c r="A568" s="1" t="s">
        <v>738</v>
      </c>
      <c r="B568" s="1" t="s">
        <v>739</v>
      </c>
      <c r="C568" s="1" t="s">
        <v>740</v>
      </c>
      <c r="D568" s="1" t="str">
        <f>"059-389-6660  "</f>
        <v xml:space="preserve">059-389-6660  </v>
      </c>
      <c r="E568" s="1" t="s">
        <v>741</v>
      </c>
    </row>
    <row r="569" spans="1:5" x14ac:dyDescent="0.55000000000000004">
      <c r="A569" s="1" t="s">
        <v>1044</v>
      </c>
      <c r="B569" s="1" t="s">
        <v>60</v>
      </c>
      <c r="C569" s="1" t="s">
        <v>61</v>
      </c>
      <c r="D569" s="1" t="str">
        <f>"059-382-1385  "</f>
        <v xml:space="preserve">059-382-1385  </v>
      </c>
      <c r="E569" s="1" t="s">
        <v>1045</v>
      </c>
    </row>
    <row r="570" spans="1:5" x14ac:dyDescent="0.55000000000000004">
      <c r="A570" s="1" t="s">
        <v>2278</v>
      </c>
      <c r="B570" s="1" t="s">
        <v>113</v>
      </c>
      <c r="C570" s="1" t="str">
        <f t="shared" ref="C570:C586" si="21">"鈴鹿市安塚町山之花1275-53"</f>
        <v>鈴鹿市安塚町山之花1275-53</v>
      </c>
      <c r="D570" s="1" t="str">
        <f t="shared" ref="D570:D601" si="22">"059-382-1311  "</f>
        <v xml:space="preserve">059-382-1311  </v>
      </c>
      <c r="E570" s="1" t="s">
        <v>23</v>
      </c>
    </row>
    <row r="571" spans="1:5" x14ac:dyDescent="0.55000000000000004">
      <c r="A571" s="1" t="s">
        <v>2281</v>
      </c>
      <c r="B571" s="1" t="s">
        <v>113</v>
      </c>
      <c r="C571" s="1" t="str">
        <f t="shared" si="21"/>
        <v>鈴鹿市安塚町山之花1275-53</v>
      </c>
      <c r="D571" s="1" t="str">
        <f t="shared" si="22"/>
        <v xml:space="preserve">059-382-1311  </v>
      </c>
      <c r="E571" s="1" t="s">
        <v>6</v>
      </c>
    </row>
    <row r="572" spans="1:5" x14ac:dyDescent="0.55000000000000004">
      <c r="A572" s="1" t="s">
        <v>2969</v>
      </c>
      <c r="B572" s="1" t="s">
        <v>113</v>
      </c>
      <c r="C572" s="1" t="str">
        <f t="shared" si="21"/>
        <v>鈴鹿市安塚町山之花1275-53</v>
      </c>
      <c r="D572" s="1" t="str">
        <f t="shared" si="22"/>
        <v xml:space="preserve">059-382-1311  </v>
      </c>
      <c r="E572" s="1" t="s">
        <v>6</v>
      </c>
    </row>
    <row r="573" spans="1:5" x14ac:dyDescent="0.55000000000000004">
      <c r="A573" s="1" t="s">
        <v>2970</v>
      </c>
      <c r="B573" s="1" t="s">
        <v>113</v>
      </c>
      <c r="C573" s="1" t="str">
        <f t="shared" si="21"/>
        <v>鈴鹿市安塚町山之花1275-53</v>
      </c>
      <c r="D573" s="1" t="str">
        <f t="shared" si="22"/>
        <v xml:space="preserve">059-382-1311  </v>
      </c>
      <c r="E573" s="1" t="s">
        <v>6</v>
      </c>
    </row>
    <row r="574" spans="1:5" x14ac:dyDescent="0.55000000000000004">
      <c r="A574" s="1" t="s">
        <v>2983</v>
      </c>
      <c r="B574" s="1" t="s">
        <v>113</v>
      </c>
      <c r="C574" s="1" t="str">
        <f t="shared" si="21"/>
        <v>鈴鹿市安塚町山之花1275-53</v>
      </c>
      <c r="D574" s="1" t="str">
        <f t="shared" si="22"/>
        <v xml:space="preserve">059-382-1311  </v>
      </c>
      <c r="E574" s="1" t="s">
        <v>6</v>
      </c>
    </row>
    <row r="575" spans="1:5" x14ac:dyDescent="0.55000000000000004">
      <c r="A575" s="1" t="s">
        <v>2984</v>
      </c>
      <c r="B575" s="1" t="s">
        <v>113</v>
      </c>
      <c r="C575" s="1" t="str">
        <f t="shared" si="21"/>
        <v>鈴鹿市安塚町山之花1275-53</v>
      </c>
      <c r="D575" s="1" t="str">
        <f t="shared" si="22"/>
        <v xml:space="preserve">059-382-1311  </v>
      </c>
      <c r="E575" s="1" t="s">
        <v>6</v>
      </c>
    </row>
    <row r="576" spans="1:5" x14ac:dyDescent="0.55000000000000004">
      <c r="A576" s="1" t="s">
        <v>2989</v>
      </c>
      <c r="B576" s="1" t="s">
        <v>113</v>
      </c>
      <c r="C576" s="1" t="str">
        <f t="shared" si="21"/>
        <v>鈴鹿市安塚町山之花1275-53</v>
      </c>
      <c r="D576" s="1" t="str">
        <f t="shared" si="22"/>
        <v xml:space="preserve">059-382-1311  </v>
      </c>
      <c r="E576" s="1" t="s">
        <v>6</v>
      </c>
    </row>
    <row r="577" spans="1:5" x14ac:dyDescent="0.55000000000000004">
      <c r="A577" s="1" t="s">
        <v>2991</v>
      </c>
      <c r="B577" s="1" t="s">
        <v>113</v>
      </c>
      <c r="C577" s="1" t="str">
        <f t="shared" si="21"/>
        <v>鈴鹿市安塚町山之花1275-53</v>
      </c>
      <c r="D577" s="1" t="str">
        <f t="shared" si="22"/>
        <v xml:space="preserve">059-382-1311  </v>
      </c>
      <c r="E577" s="1" t="s">
        <v>327</v>
      </c>
    </row>
    <row r="578" spans="1:5" x14ac:dyDescent="0.55000000000000004">
      <c r="A578" s="1" t="s">
        <v>2362</v>
      </c>
      <c r="B578" s="1" t="s">
        <v>113</v>
      </c>
      <c r="C578" s="1" t="str">
        <f t="shared" si="21"/>
        <v>鈴鹿市安塚町山之花1275-53</v>
      </c>
      <c r="D578" s="1" t="str">
        <f t="shared" si="22"/>
        <v xml:space="preserve">059-382-1311  </v>
      </c>
      <c r="E578" s="1" t="s">
        <v>34</v>
      </c>
    </row>
    <row r="579" spans="1:5" x14ac:dyDescent="0.55000000000000004">
      <c r="A579" s="1" t="s">
        <v>2999</v>
      </c>
      <c r="B579" s="1" t="s">
        <v>113</v>
      </c>
      <c r="C579" s="1" t="str">
        <f t="shared" si="21"/>
        <v>鈴鹿市安塚町山之花1275-53</v>
      </c>
      <c r="D579" s="1" t="str">
        <f t="shared" si="22"/>
        <v xml:space="preserve">059-382-1311  </v>
      </c>
      <c r="E579" s="1" t="s">
        <v>123</v>
      </c>
    </row>
    <row r="580" spans="1:5" x14ac:dyDescent="0.55000000000000004">
      <c r="A580" s="1" t="s">
        <v>2037</v>
      </c>
      <c r="B580" s="1" t="s">
        <v>113</v>
      </c>
      <c r="C580" s="1" t="str">
        <f t="shared" si="21"/>
        <v>鈴鹿市安塚町山之花1275-53</v>
      </c>
      <c r="D580" s="1" t="str">
        <f t="shared" si="22"/>
        <v xml:space="preserve">059-382-1311  </v>
      </c>
      <c r="E580" s="1" t="s">
        <v>14</v>
      </c>
    </row>
    <row r="581" spans="1:5" x14ac:dyDescent="0.55000000000000004">
      <c r="A581" s="1" t="s">
        <v>2403</v>
      </c>
      <c r="B581" s="1" t="s">
        <v>113</v>
      </c>
      <c r="C581" s="1" t="str">
        <f t="shared" si="21"/>
        <v>鈴鹿市安塚町山之花1275-53</v>
      </c>
      <c r="D581" s="1" t="str">
        <f t="shared" si="22"/>
        <v xml:space="preserve">059-382-1311  </v>
      </c>
      <c r="E581" s="1" t="s">
        <v>35</v>
      </c>
    </row>
    <row r="582" spans="1:5" x14ac:dyDescent="0.55000000000000004">
      <c r="A582" s="1" t="s">
        <v>2497</v>
      </c>
      <c r="B582" s="1" t="s">
        <v>113</v>
      </c>
      <c r="C582" s="1" t="str">
        <f t="shared" si="21"/>
        <v>鈴鹿市安塚町山之花1275-53</v>
      </c>
      <c r="D582" s="1" t="str">
        <f t="shared" si="22"/>
        <v xml:space="preserve">059-382-1311  </v>
      </c>
      <c r="E582" s="1" t="s">
        <v>131</v>
      </c>
    </row>
    <row r="583" spans="1:5" x14ac:dyDescent="0.55000000000000004">
      <c r="A583" s="1" t="s">
        <v>2132</v>
      </c>
      <c r="B583" s="1" t="s">
        <v>113</v>
      </c>
      <c r="C583" s="1" t="str">
        <f t="shared" si="21"/>
        <v>鈴鹿市安塚町山之花1275-53</v>
      </c>
      <c r="D583" s="1" t="str">
        <f t="shared" si="22"/>
        <v xml:space="preserve">059-382-1311  </v>
      </c>
      <c r="E583" s="1" t="s">
        <v>14</v>
      </c>
    </row>
    <row r="584" spans="1:5" x14ac:dyDescent="0.55000000000000004">
      <c r="A584" s="1" t="s">
        <v>2541</v>
      </c>
      <c r="B584" s="1" t="s">
        <v>113</v>
      </c>
      <c r="C584" s="1" t="str">
        <f t="shared" si="21"/>
        <v>鈴鹿市安塚町山之花1275-53</v>
      </c>
      <c r="D584" s="1" t="str">
        <f t="shared" si="22"/>
        <v xml:space="preserve">059-382-1311  </v>
      </c>
      <c r="E584" s="1" t="s">
        <v>34</v>
      </c>
    </row>
    <row r="585" spans="1:5" x14ac:dyDescent="0.55000000000000004">
      <c r="A585" s="1" t="s">
        <v>2148</v>
      </c>
      <c r="B585" s="1" t="s">
        <v>113</v>
      </c>
      <c r="C585" s="1" t="str">
        <f t="shared" si="21"/>
        <v>鈴鹿市安塚町山之花1275-53</v>
      </c>
      <c r="D585" s="1" t="str">
        <f t="shared" si="22"/>
        <v xml:space="preserve">059-382-1311  </v>
      </c>
      <c r="E585" s="1" t="s">
        <v>6</v>
      </c>
    </row>
    <row r="586" spans="1:5" x14ac:dyDescent="0.55000000000000004">
      <c r="A586" s="1" t="s">
        <v>2151</v>
      </c>
      <c r="B586" s="1" t="s">
        <v>113</v>
      </c>
      <c r="C586" s="1" t="str">
        <f t="shared" si="21"/>
        <v>鈴鹿市安塚町山之花1275-53</v>
      </c>
      <c r="D586" s="1" t="str">
        <f t="shared" si="22"/>
        <v xml:space="preserve">059-382-1311  </v>
      </c>
      <c r="E586" s="1" t="s">
        <v>6</v>
      </c>
    </row>
    <row r="587" spans="1:5" x14ac:dyDescent="0.55000000000000004">
      <c r="A587" s="1" t="s">
        <v>2572</v>
      </c>
      <c r="B587" s="1" t="s">
        <v>113</v>
      </c>
      <c r="C587" s="1" t="str">
        <f t="shared" ref="C587:C621" si="23">"鈴鹿市安塚町山之花1275-53"</f>
        <v>鈴鹿市安塚町山之花1275-53</v>
      </c>
      <c r="D587" s="1" t="str">
        <f t="shared" si="22"/>
        <v xml:space="preserve">059-382-1311  </v>
      </c>
      <c r="E587" s="1" t="s">
        <v>705</v>
      </c>
    </row>
    <row r="588" spans="1:5" x14ac:dyDescent="0.55000000000000004">
      <c r="A588" s="1" t="s">
        <v>855</v>
      </c>
      <c r="B588" s="1" t="s">
        <v>113</v>
      </c>
      <c r="C588" s="1" t="str">
        <f t="shared" si="23"/>
        <v>鈴鹿市安塚町山之花1275-53</v>
      </c>
      <c r="D588" s="1" t="str">
        <f t="shared" si="22"/>
        <v xml:space="preserve">059-382-1311  </v>
      </c>
      <c r="E588" s="1" t="s">
        <v>23</v>
      </c>
    </row>
    <row r="589" spans="1:5" x14ac:dyDescent="0.55000000000000004">
      <c r="A589" s="1" t="s">
        <v>857</v>
      </c>
      <c r="B589" s="1" t="s">
        <v>113</v>
      </c>
      <c r="C589" s="1" t="str">
        <f t="shared" si="23"/>
        <v>鈴鹿市安塚町山之花1275-53</v>
      </c>
      <c r="D589" s="1" t="str">
        <f t="shared" si="22"/>
        <v xml:space="preserve">059-382-1311  </v>
      </c>
      <c r="E589" s="1" t="s">
        <v>858</v>
      </c>
    </row>
    <row r="590" spans="1:5" x14ac:dyDescent="0.55000000000000004">
      <c r="A590" s="1" t="s">
        <v>864</v>
      </c>
      <c r="B590" s="1" t="s">
        <v>113</v>
      </c>
      <c r="C590" s="1" t="str">
        <f t="shared" si="23"/>
        <v>鈴鹿市安塚町山之花1275-53</v>
      </c>
      <c r="D590" s="1" t="str">
        <f t="shared" si="22"/>
        <v xml:space="preserve">059-382-1311  </v>
      </c>
      <c r="E590" s="1" t="s">
        <v>14</v>
      </c>
    </row>
    <row r="591" spans="1:5" x14ac:dyDescent="0.55000000000000004">
      <c r="A591" s="1" t="s">
        <v>866</v>
      </c>
      <c r="B591" s="1" t="s">
        <v>113</v>
      </c>
      <c r="C591" s="1" t="str">
        <f t="shared" si="23"/>
        <v>鈴鹿市安塚町山之花1275-53</v>
      </c>
      <c r="D591" s="1" t="str">
        <f t="shared" si="22"/>
        <v xml:space="preserve">059-382-1311  </v>
      </c>
      <c r="E591" s="1" t="s">
        <v>131</v>
      </c>
    </row>
    <row r="592" spans="1:5" x14ac:dyDescent="0.55000000000000004">
      <c r="A592" s="1" t="s">
        <v>868</v>
      </c>
      <c r="B592" s="1" t="s">
        <v>113</v>
      </c>
      <c r="C592" s="1" t="str">
        <f t="shared" si="23"/>
        <v>鈴鹿市安塚町山之花1275-53</v>
      </c>
      <c r="D592" s="1" t="str">
        <f t="shared" si="22"/>
        <v xml:space="preserve">059-382-1311  </v>
      </c>
      <c r="E592" s="1" t="s">
        <v>6</v>
      </c>
    </row>
    <row r="593" spans="1:5" x14ac:dyDescent="0.55000000000000004">
      <c r="A593" s="1" t="s">
        <v>869</v>
      </c>
      <c r="B593" s="1" t="s">
        <v>113</v>
      </c>
      <c r="C593" s="1" t="str">
        <f t="shared" si="23"/>
        <v>鈴鹿市安塚町山之花1275-53</v>
      </c>
      <c r="D593" s="1" t="str">
        <f t="shared" si="22"/>
        <v xml:space="preserve">059-382-1311  </v>
      </c>
      <c r="E593" s="1" t="s">
        <v>6</v>
      </c>
    </row>
    <row r="594" spans="1:5" x14ac:dyDescent="0.55000000000000004">
      <c r="A594" s="1" t="s">
        <v>870</v>
      </c>
      <c r="B594" s="1" t="s">
        <v>113</v>
      </c>
      <c r="C594" s="1" t="str">
        <f t="shared" si="23"/>
        <v>鈴鹿市安塚町山之花1275-53</v>
      </c>
      <c r="D594" s="1" t="str">
        <f t="shared" si="22"/>
        <v xml:space="preserve">059-382-1311  </v>
      </c>
      <c r="E594" s="1" t="s">
        <v>6</v>
      </c>
    </row>
    <row r="595" spans="1:5" x14ac:dyDescent="0.55000000000000004">
      <c r="A595" s="1" t="s">
        <v>874</v>
      </c>
      <c r="B595" s="1" t="s">
        <v>113</v>
      </c>
      <c r="C595" s="1" t="str">
        <f t="shared" si="23"/>
        <v>鈴鹿市安塚町山之花1275-53</v>
      </c>
      <c r="D595" s="1" t="str">
        <f t="shared" si="22"/>
        <v xml:space="preserve">059-382-1311  </v>
      </c>
      <c r="E595" s="1" t="s">
        <v>6</v>
      </c>
    </row>
    <row r="596" spans="1:5" x14ac:dyDescent="0.55000000000000004">
      <c r="A596" s="1" t="s">
        <v>875</v>
      </c>
      <c r="B596" s="1" t="s">
        <v>113</v>
      </c>
      <c r="C596" s="1" t="str">
        <f t="shared" si="23"/>
        <v>鈴鹿市安塚町山之花1275-53</v>
      </c>
      <c r="D596" s="1" t="str">
        <f t="shared" si="22"/>
        <v xml:space="preserve">059-382-1311  </v>
      </c>
      <c r="E596" s="1" t="s">
        <v>6</v>
      </c>
    </row>
    <row r="597" spans="1:5" x14ac:dyDescent="0.55000000000000004">
      <c r="A597" s="1" t="s">
        <v>879</v>
      </c>
      <c r="B597" s="1" t="s">
        <v>113</v>
      </c>
      <c r="C597" s="1" t="str">
        <f t="shared" si="23"/>
        <v>鈴鹿市安塚町山之花1275-53</v>
      </c>
      <c r="D597" s="1" t="str">
        <f t="shared" si="22"/>
        <v xml:space="preserve">059-382-1311  </v>
      </c>
      <c r="E597" s="1" t="s">
        <v>6</v>
      </c>
    </row>
    <row r="598" spans="1:5" x14ac:dyDescent="0.55000000000000004">
      <c r="A598" s="1" t="s">
        <v>880</v>
      </c>
      <c r="B598" s="1" t="s">
        <v>113</v>
      </c>
      <c r="C598" s="1" t="str">
        <f t="shared" si="23"/>
        <v>鈴鹿市安塚町山之花1275-53</v>
      </c>
      <c r="D598" s="1" t="str">
        <f t="shared" si="22"/>
        <v xml:space="preserve">059-382-1311  </v>
      </c>
      <c r="E598" s="1" t="s">
        <v>6</v>
      </c>
    </row>
    <row r="599" spans="1:5" x14ac:dyDescent="0.55000000000000004">
      <c r="A599" s="1" t="s">
        <v>881</v>
      </c>
      <c r="B599" s="1" t="s">
        <v>113</v>
      </c>
      <c r="C599" s="1" t="str">
        <f t="shared" si="23"/>
        <v>鈴鹿市安塚町山之花1275-53</v>
      </c>
      <c r="D599" s="1" t="str">
        <f t="shared" si="22"/>
        <v xml:space="preserve">059-382-1311  </v>
      </c>
      <c r="E599" s="1" t="s">
        <v>6</v>
      </c>
    </row>
    <row r="600" spans="1:5" x14ac:dyDescent="0.55000000000000004">
      <c r="A600" s="1" t="s">
        <v>883</v>
      </c>
      <c r="B600" s="1" t="s">
        <v>113</v>
      </c>
      <c r="C600" s="1" t="str">
        <f t="shared" si="23"/>
        <v>鈴鹿市安塚町山之花1275-53</v>
      </c>
      <c r="D600" s="1" t="str">
        <f t="shared" si="22"/>
        <v xml:space="preserve">059-382-1311  </v>
      </c>
      <c r="E600" s="1" t="s">
        <v>6</v>
      </c>
    </row>
    <row r="601" spans="1:5" x14ac:dyDescent="0.55000000000000004">
      <c r="A601" s="1" t="s">
        <v>984</v>
      </c>
      <c r="B601" s="1" t="s">
        <v>113</v>
      </c>
      <c r="C601" s="1" t="str">
        <f t="shared" si="23"/>
        <v>鈴鹿市安塚町山之花1275-53</v>
      </c>
      <c r="D601" s="1" t="str">
        <f t="shared" si="22"/>
        <v xml:space="preserve">059-382-1311  </v>
      </c>
      <c r="E601" s="1" t="s">
        <v>34</v>
      </c>
    </row>
    <row r="602" spans="1:5" x14ac:dyDescent="0.55000000000000004">
      <c r="A602" s="1" t="s">
        <v>985</v>
      </c>
      <c r="B602" s="1" t="s">
        <v>113</v>
      </c>
      <c r="C602" s="1" t="str">
        <f t="shared" si="23"/>
        <v>鈴鹿市安塚町山之花1275-53</v>
      </c>
      <c r="D602" s="1" t="str">
        <f t="shared" ref="D602:D621" si="24">"059-382-1311  "</f>
        <v xml:space="preserve">059-382-1311  </v>
      </c>
      <c r="E602" s="1" t="s">
        <v>6</v>
      </c>
    </row>
    <row r="603" spans="1:5" x14ac:dyDescent="0.55000000000000004">
      <c r="A603" s="1" t="s">
        <v>2811</v>
      </c>
      <c r="B603" s="1" t="s">
        <v>113</v>
      </c>
      <c r="C603" s="1" t="str">
        <f t="shared" si="23"/>
        <v>鈴鹿市安塚町山之花1275-53</v>
      </c>
      <c r="D603" s="1" t="str">
        <f t="shared" si="24"/>
        <v xml:space="preserve">059-382-1311  </v>
      </c>
      <c r="E603" s="1" t="s">
        <v>135</v>
      </c>
    </row>
    <row r="604" spans="1:5" x14ac:dyDescent="0.55000000000000004">
      <c r="A604" s="1" t="s">
        <v>2830</v>
      </c>
      <c r="B604" s="1" t="s">
        <v>113</v>
      </c>
      <c r="C604" s="1" t="str">
        <f t="shared" si="23"/>
        <v>鈴鹿市安塚町山之花1275-53</v>
      </c>
      <c r="D604" s="1" t="str">
        <f t="shared" si="24"/>
        <v xml:space="preserve">059-382-1311  </v>
      </c>
      <c r="E604" s="1" t="s">
        <v>135</v>
      </c>
    </row>
    <row r="605" spans="1:5" x14ac:dyDescent="0.55000000000000004">
      <c r="A605" s="1" t="s">
        <v>1217</v>
      </c>
      <c r="B605" s="1" t="s">
        <v>113</v>
      </c>
      <c r="C605" s="1" t="str">
        <f t="shared" si="23"/>
        <v>鈴鹿市安塚町山之花1275-53</v>
      </c>
      <c r="D605" s="1" t="str">
        <f t="shared" si="24"/>
        <v xml:space="preserve">059-382-1311  </v>
      </c>
      <c r="E605" s="1" t="s">
        <v>6</v>
      </c>
    </row>
    <row r="606" spans="1:5" x14ac:dyDescent="0.55000000000000004">
      <c r="A606" s="1" t="s">
        <v>1290</v>
      </c>
      <c r="B606" s="1" t="s">
        <v>113</v>
      </c>
      <c r="C606" s="1" t="str">
        <f t="shared" si="23"/>
        <v>鈴鹿市安塚町山之花1275-53</v>
      </c>
      <c r="D606" s="1" t="str">
        <f t="shared" si="24"/>
        <v xml:space="preserve">059-382-1311  </v>
      </c>
      <c r="E606" s="1" t="s">
        <v>10</v>
      </c>
    </row>
    <row r="607" spans="1:5" x14ac:dyDescent="0.55000000000000004">
      <c r="A607" s="1" t="s">
        <v>1389</v>
      </c>
      <c r="B607" s="1" t="s">
        <v>113</v>
      </c>
      <c r="C607" s="1" t="str">
        <f t="shared" si="23"/>
        <v>鈴鹿市安塚町山之花1275-53</v>
      </c>
      <c r="D607" s="1" t="str">
        <f t="shared" si="24"/>
        <v xml:space="preserve">059-382-1311  </v>
      </c>
      <c r="E607" s="1" t="s">
        <v>6</v>
      </c>
    </row>
    <row r="608" spans="1:5" x14ac:dyDescent="0.55000000000000004">
      <c r="A608" s="1" t="s">
        <v>1395</v>
      </c>
      <c r="B608" s="1" t="s">
        <v>113</v>
      </c>
      <c r="C608" s="1" t="str">
        <f t="shared" si="23"/>
        <v>鈴鹿市安塚町山之花1275-53</v>
      </c>
      <c r="D608" s="1" t="str">
        <f t="shared" si="24"/>
        <v xml:space="preserve">059-382-1311  </v>
      </c>
      <c r="E608" s="1" t="s">
        <v>6</v>
      </c>
    </row>
    <row r="609" spans="1:5" x14ac:dyDescent="0.55000000000000004">
      <c r="A609" s="1" t="s">
        <v>1492</v>
      </c>
      <c r="B609" s="1" t="s">
        <v>113</v>
      </c>
      <c r="C609" s="1" t="str">
        <f t="shared" si="23"/>
        <v>鈴鹿市安塚町山之花1275-53</v>
      </c>
      <c r="D609" s="1" t="str">
        <f t="shared" si="24"/>
        <v xml:space="preserve">059-382-1311  </v>
      </c>
      <c r="E609" s="1" t="s">
        <v>111</v>
      </c>
    </row>
    <row r="610" spans="1:5" x14ac:dyDescent="0.55000000000000004">
      <c r="A610" s="1" t="s">
        <v>1509</v>
      </c>
      <c r="B610" s="1" t="s">
        <v>113</v>
      </c>
      <c r="C610" s="1" t="str">
        <f t="shared" si="23"/>
        <v>鈴鹿市安塚町山之花1275-53</v>
      </c>
      <c r="D610" s="1" t="str">
        <f t="shared" si="24"/>
        <v xml:space="preserve">059-382-1311  </v>
      </c>
      <c r="E610" s="1" t="s">
        <v>14</v>
      </c>
    </row>
    <row r="611" spans="1:5" x14ac:dyDescent="0.55000000000000004">
      <c r="A611" s="1" t="s">
        <v>1516</v>
      </c>
      <c r="B611" s="1" t="s">
        <v>113</v>
      </c>
      <c r="C611" s="1" t="str">
        <f t="shared" si="23"/>
        <v>鈴鹿市安塚町山之花1275-53</v>
      </c>
      <c r="D611" s="1" t="str">
        <f t="shared" si="24"/>
        <v xml:space="preserve">059-382-1311  </v>
      </c>
      <c r="E611" s="1" t="s">
        <v>111</v>
      </c>
    </row>
    <row r="612" spans="1:5" x14ac:dyDescent="0.55000000000000004">
      <c r="A612" s="1" t="s">
        <v>1517</v>
      </c>
      <c r="B612" s="1" t="s">
        <v>113</v>
      </c>
      <c r="C612" s="1" t="str">
        <f t="shared" si="23"/>
        <v>鈴鹿市安塚町山之花1275-53</v>
      </c>
      <c r="D612" s="1" t="str">
        <f t="shared" si="24"/>
        <v xml:space="preserve">059-382-1311  </v>
      </c>
      <c r="E612" s="1" t="s">
        <v>131</v>
      </c>
    </row>
    <row r="613" spans="1:5" x14ac:dyDescent="0.55000000000000004">
      <c r="A613" s="1" t="s">
        <v>1600</v>
      </c>
      <c r="B613" s="1" t="s">
        <v>113</v>
      </c>
      <c r="C613" s="1" t="str">
        <f t="shared" si="23"/>
        <v>鈴鹿市安塚町山之花1275-53</v>
      </c>
      <c r="D613" s="1" t="str">
        <f t="shared" si="24"/>
        <v xml:space="preserve">059-382-1311  </v>
      </c>
      <c r="E613" s="1" t="s">
        <v>14</v>
      </c>
    </row>
    <row r="614" spans="1:5" x14ac:dyDescent="0.55000000000000004">
      <c r="A614" s="1" t="s">
        <v>1628</v>
      </c>
      <c r="B614" s="1" t="s">
        <v>113</v>
      </c>
      <c r="C614" s="1" t="str">
        <f t="shared" si="23"/>
        <v>鈴鹿市安塚町山之花1275-53</v>
      </c>
      <c r="D614" s="1" t="str">
        <f t="shared" si="24"/>
        <v xml:space="preserve">059-382-1311  </v>
      </c>
      <c r="E614" s="1" t="s">
        <v>111</v>
      </c>
    </row>
    <row r="615" spans="1:5" x14ac:dyDescent="0.55000000000000004">
      <c r="A615" s="1" t="s">
        <v>1738</v>
      </c>
      <c r="B615" s="1" t="s">
        <v>113</v>
      </c>
      <c r="C615" s="1" t="str">
        <f t="shared" si="23"/>
        <v>鈴鹿市安塚町山之花1275-53</v>
      </c>
      <c r="D615" s="1" t="str">
        <f t="shared" si="24"/>
        <v xml:space="preserve">059-382-1311  </v>
      </c>
      <c r="E615" s="1" t="s">
        <v>6</v>
      </c>
    </row>
    <row r="616" spans="1:5" x14ac:dyDescent="0.55000000000000004">
      <c r="A616" s="1" t="s">
        <v>1684</v>
      </c>
      <c r="B616" s="1" t="s">
        <v>113</v>
      </c>
      <c r="C616" s="1" t="str">
        <f t="shared" si="23"/>
        <v>鈴鹿市安塚町山之花1275-53</v>
      </c>
      <c r="D616" s="1" t="str">
        <f t="shared" si="24"/>
        <v xml:space="preserve">059-382-1311  </v>
      </c>
      <c r="E616" s="1" t="s">
        <v>23</v>
      </c>
    </row>
    <row r="617" spans="1:5" x14ac:dyDescent="0.55000000000000004">
      <c r="A617" s="1" t="s">
        <v>1759</v>
      </c>
      <c r="B617" s="1" t="s">
        <v>113</v>
      </c>
      <c r="C617" s="1" t="str">
        <f t="shared" si="23"/>
        <v>鈴鹿市安塚町山之花1275-53</v>
      </c>
      <c r="D617" s="1" t="str">
        <f t="shared" si="24"/>
        <v xml:space="preserve">059-382-1311  </v>
      </c>
      <c r="E617" s="1" t="s">
        <v>34</v>
      </c>
    </row>
    <row r="618" spans="1:5" x14ac:dyDescent="0.55000000000000004">
      <c r="A618" s="1" t="s">
        <v>1786</v>
      </c>
      <c r="B618" s="1" t="s">
        <v>113</v>
      </c>
      <c r="C618" s="1" t="str">
        <f t="shared" si="23"/>
        <v>鈴鹿市安塚町山之花1275-53</v>
      </c>
      <c r="D618" s="1" t="str">
        <f t="shared" si="24"/>
        <v xml:space="preserve">059-382-1311  </v>
      </c>
      <c r="E618" s="1" t="s">
        <v>69</v>
      </c>
    </row>
    <row r="619" spans="1:5" x14ac:dyDescent="0.55000000000000004">
      <c r="A619" s="1" t="s">
        <v>2649</v>
      </c>
      <c r="B619" s="1" t="s">
        <v>113</v>
      </c>
      <c r="C619" s="1" t="str">
        <f t="shared" si="23"/>
        <v>鈴鹿市安塚町山之花1275-53</v>
      </c>
      <c r="D619" s="1" t="str">
        <f t="shared" si="24"/>
        <v xml:space="preserve">059-382-1311  </v>
      </c>
      <c r="E619" s="1" t="s">
        <v>123</v>
      </c>
    </row>
    <row r="620" spans="1:5" x14ac:dyDescent="0.55000000000000004">
      <c r="A620" s="1" t="s">
        <v>2690</v>
      </c>
      <c r="B620" s="1" t="s">
        <v>113</v>
      </c>
      <c r="C620" s="1" t="str">
        <f t="shared" si="23"/>
        <v>鈴鹿市安塚町山之花1275-53</v>
      </c>
      <c r="D620" s="1" t="str">
        <f t="shared" si="24"/>
        <v xml:space="preserve">059-382-1311  </v>
      </c>
      <c r="E620" s="1" t="s">
        <v>6</v>
      </c>
    </row>
    <row r="621" spans="1:5" x14ac:dyDescent="0.55000000000000004">
      <c r="A621" s="1" t="s">
        <v>1927</v>
      </c>
      <c r="B621" s="1" t="s">
        <v>113</v>
      </c>
      <c r="C621" s="1" t="str">
        <f t="shared" si="23"/>
        <v>鈴鹿市安塚町山之花1275-53</v>
      </c>
      <c r="D621" s="1" t="str">
        <f t="shared" si="24"/>
        <v xml:space="preserve">059-382-1311  </v>
      </c>
      <c r="E621" s="1" t="s">
        <v>23</v>
      </c>
    </row>
    <row r="622" spans="1:5" x14ac:dyDescent="0.55000000000000004">
      <c r="A622" s="1" t="s">
        <v>953</v>
      </c>
      <c r="B622" s="1" t="s">
        <v>954</v>
      </c>
      <c r="C622" s="1" t="s">
        <v>955</v>
      </c>
      <c r="D622" s="1" t="str">
        <f>"059-380-0220  "</f>
        <v xml:space="preserve">059-380-0220  </v>
      </c>
      <c r="E622" s="1" t="s">
        <v>956</v>
      </c>
    </row>
    <row r="623" spans="1:5" x14ac:dyDescent="0.55000000000000004">
      <c r="A623" s="1" t="s">
        <v>957</v>
      </c>
      <c r="B623" s="1" t="s">
        <v>954</v>
      </c>
      <c r="C623" s="1" t="s">
        <v>955</v>
      </c>
      <c r="D623" s="1" t="str">
        <f>"059-380-0220  "</f>
        <v xml:space="preserve">059-380-0220  </v>
      </c>
      <c r="E623" s="1" t="s">
        <v>958</v>
      </c>
    </row>
    <row r="624" spans="1:5" x14ac:dyDescent="0.55000000000000004">
      <c r="A624" s="1" t="s">
        <v>2963</v>
      </c>
      <c r="B624" s="1" t="s">
        <v>2964</v>
      </c>
      <c r="C624" s="1" t="str">
        <f>"鈴鹿市長太栄町3丁目16-23"</f>
        <v>鈴鹿市長太栄町3丁目16-23</v>
      </c>
      <c r="D624" s="1" t="str">
        <f>"059-385-5313  "</f>
        <v xml:space="preserve">059-385-5313  </v>
      </c>
      <c r="E624" s="1" t="s">
        <v>2965</v>
      </c>
    </row>
    <row r="625" spans="1:5" x14ac:dyDescent="0.55000000000000004">
      <c r="A625" s="1" t="s">
        <v>565</v>
      </c>
      <c r="B625" s="1" t="s">
        <v>566</v>
      </c>
      <c r="C625" s="1" t="str">
        <f>"鈴鹿市中箕田町1124-6"</f>
        <v>鈴鹿市中箕田町1124-6</v>
      </c>
      <c r="D625" s="1" t="str">
        <f>"059-395-0007  "</f>
        <v xml:space="preserve">059-395-0007  </v>
      </c>
      <c r="E625" s="1" t="s">
        <v>6</v>
      </c>
    </row>
    <row r="626" spans="1:5" x14ac:dyDescent="0.55000000000000004">
      <c r="A626" s="1" t="s">
        <v>154</v>
      </c>
      <c r="B626" s="1" t="s">
        <v>155</v>
      </c>
      <c r="C626" s="1" t="str">
        <f>"鈴鹿市庄野羽山4-1-2"</f>
        <v>鈴鹿市庄野羽山4-1-2</v>
      </c>
      <c r="D626" s="1" t="str">
        <f>"059-370-1800  "</f>
        <v xml:space="preserve">059-370-1800  </v>
      </c>
      <c r="E626" s="1" t="s">
        <v>34</v>
      </c>
    </row>
    <row r="627" spans="1:5" x14ac:dyDescent="0.55000000000000004">
      <c r="A627" s="1" t="s">
        <v>319</v>
      </c>
      <c r="B627" s="1" t="s">
        <v>320</v>
      </c>
      <c r="C627" s="1" t="s">
        <v>321</v>
      </c>
      <c r="D627" s="1" t="str">
        <f>"059-371-6000  "</f>
        <v xml:space="preserve">059-371-6000  </v>
      </c>
      <c r="E627" s="1" t="s">
        <v>322</v>
      </c>
    </row>
    <row r="628" spans="1:5" x14ac:dyDescent="0.55000000000000004">
      <c r="A628" s="1" t="s">
        <v>601</v>
      </c>
      <c r="B628" s="1" t="s">
        <v>602</v>
      </c>
      <c r="C628" s="1" t="str">
        <f>"鈴鹿市北江島町15-21"</f>
        <v>鈴鹿市北江島町15-21</v>
      </c>
      <c r="D628" s="1" t="str">
        <f>"059-387-0851  "</f>
        <v xml:space="preserve">059-387-0851  </v>
      </c>
      <c r="E628" s="1" t="s">
        <v>233</v>
      </c>
    </row>
    <row r="629" spans="1:5" x14ac:dyDescent="0.55000000000000004">
      <c r="A629" s="1" t="s">
        <v>328</v>
      </c>
      <c r="B629" s="1" t="s">
        <v>75</v>
      </c>
      <c r="C629" s="1" t="str">
        <f>"鈴鹿市神戸1丁目8-11"</f>
        <v>鈴鹿市神戸1丁目8-11</v>
      </c>
      <c r="D629" s="1" t="str">
        <f>"059-382-0758  "</f>
        <v xml:space="preserve">059-382-0758  </v>
      </c>
      <c r="E629" s="1" t="s">
        <v>34</v>
      </c>
    </row>
    <row r="630" spans="1:5" x14ac:dyDescent="0.55000000000000004">
      <c r="A630" s="1" t="s">
        <v>1004</v>
      </c>
      <c r="B630" s="1" t="s">
        <v>246</v>
      </c>
      <c r="C630" s="1" t="s">
        <v>1005</v>
      </c>
      <c r="D630" s="1" t="str">
        <f>"059-383-1338  "</f>
        <v xml:space="preserve">059-383-1338  </v>
      </c>
      <c r="E630" s="1" t="s">
        <v>14</v>
      </c>
    </row>
    <row r="631" spans="1:5" x14ac:dyDescent="0.55000000000000004">
      <c r="A631" s="1" t="s">
        <v>2358</v>
      </c>
      <c r="B631" s="1" t="s">
        <v>430</v>
      </c>
      <c r="C631" s="1" t="s">
        <v>431</v>
      </c>
      <c r="D631" s="1" t="str">
        <f t="shared" ref="D631:D640" si="25">"059-378-1321  "</f>
        <v xml:space="preserve">059-378-1321  </v>
      </c>
      <c r="E631" s="1" t="s">
        <v>131</v>
      </c>
    </row>
    <row r="632" spans="1:5" x14ac:dyDescent="0.55000000000000004">
      <c r="A632" s="1" t="s">
        <v>429</v>
      </c>
      <c r="B632" s="1" t="s">
        <v>430</v>
      </c>
      <c r="C632" s="1" t="s">
        <v>431</v>
      </c>
      <c r="D632" s="1" t="str">
        <f t="shared" si="25"/>
        <v xml:space="preserve">059-378-1321  </v>
      </c>
      <c r="E632" s="1" t="s">
        <v>327</v>
      </c>
    </row>
    <row r="633" spans="1:5" x14ac:dyDescent="0.55000000000000004">
      <c r="A633" s="1" t="s">
        <v>432</v>
      </c>
      <c r="B633" s="1" t="s">
        <v>430</v>
      </c>
      <c r="C633" s="1" t="s">
        <v>431</v>
      </c>
      <c r="D633" s="1" t="str">
        <f t="shared" si="25"/>
        <v xml:space="preserve">059-378-1321  </v>
      </c>
      <c r="E633" s="1" t="s">
        <v>327</v>
      </c>
    </row>
    <row r="634" spans="1:5" x14ac:dyDescent="0.55000000000000004">
      <c r="A634" s="1" t="s">
        <v>433</v>
      </c>
      <c r="B634" s="1" t="s">
        <v>430</v>
      </c>
      <c r="C634" s="1" t="s">
        <v>431</v>
      </c>
      <c r="D634" s="1" t="str">
        <f t="shared" si="25"/>
        <v xml:space="preserve">059-378-1321  </v>
      </c>
      <c r="E634" s="1" t="s">
        <v>327</v>
      </c>
    </row>
    <row r="635" spans="1:5" x14ac:dyDescent="0.55000000000000004">
      <c r="A635" s="1" t="s">
        <v>2840</v>
      </c>
      <c r="B635" s="1" t="s">
        <v>430</v>
      </c>
      <c r="C635" s="1" t="s">
        <v>431</v>
      </c>
      <c r="D635" s="1" t="str">
        <f t="shared" si="25"/>
        <v xml:space="preserve">059-378-1321  </v>
      </c>
      <c r="E635" s="1" t="s">
        <v>6</v>
      </c>
    </row>
    <row r="636" spans="1:5" x14ac:dyDescent="0.55000000000000004">
      <c r="A636" s="1" t="s">
        <v>2849</v>
      </c>
      <c r="B636" s="1" t="s">
        <v>430</v>
      </c>
      <c r="C636" s="1" t="s">
        <v>431</v>
      </c>
      <c r="D636" s="1" t="str">
        <f t="shared" si="25"/>
        <v xml:space="preserve">059-378-1321  </v>
      </c>
      <c r="E636" s="1" t="s">
        <v>327</v>
      </c>
    </row>
    <row r="637" spans="1:5" x14ac:dyDescent="0.55000000000000004">
      <c r="A637" s="1" t="s">
        <v>1801</v>
      </c>
      <c r="B637" s="1" t="s">
        <v>430</v>
      </c>
      <c r="C637" s="1" t="s">
        <v>431</v>
      </c>
      <c r="D637" s="1" t="str">
        <f t="shared" si="25"/>
        <v xml:space="preserve">059-378-1321  </v>
      </c>
      <c r="E637" s="1" t="s">
        <v>327</v>
      </c>
    </row>
    <row r="638" spans="1:5" x14ac:dyDescent="0.55000000000000004">
      <c r="A638" s="1" t="s">
        <v>1939</v>
      </c>
      <c r="B638" s="1" t="s">
        <v>430</v>
      </c>
      <c r="C638" s="1" t="s">
        <v>431</v>
      </c>
      <c r="D638" s="1" t="str">
        <f t="shared" si="25"/>
        <v xml:space="preserve">059-378-1321  </v>
      </c>
      <c r="E638" s="1" t="s">
        <v>131</v>
      </c>
    </row>
    <row r="639" spans="1:5" x14ac:dyDescent="0.55000000000000004">
      <c r="A639" s="1" t="s">
        <v>2014</v>
      </c>
      <c r="B639" s="1" t="s">
        <v>430</v>
      </c>
      <c r="C639" s="1" t="s">
        <v>431</v>
      </c>
      <c r="D639" s="1" t="str">
        <f t="shared" si="25"/>
        <v xml:space="preserve">059-378-1321  </v>
      </c>
      <c r="E639" s="1" t="s">
        <v>131</v>
      </c>
    </row>
    <row r="640" spans="1:5" x14ac:dyDescent="0.55000000000000004">
      <c r="A640" s="1" t="s">
        <v>2114</v>
      </c>
      <c r="B640" s="1" t="s">
        <v>430</v>
      </c>
      <c r="C640" s="1" t="s">
        <v>431</v>
      </c>
      <c r="D640" s="1" t="str">
        <f t="shared" si="25"/>
        <v xml:space="preserve">059-378-1321  </v>
      </c>
      <c r="E640" s="1" t="s">
        <v>6</v>
      </c>
    </row>
    <row r="641" spans="1:5" x14ac:dyDescent="0.55000000000000004">
      <c r="A641" s="1" t="s">
        <v>779</v>
      </c>
      <c r="B641" s="1" t="s">
        <v>780</v>
      </c>
      <c r="C641" s="1" t="s">
        <v>781</v>
      </c>
      <c r="D641" s="1" t="str">
        <f>"059-388-2221  "</f>
        <v xml:space="preserve">059-388-2221  </v>
      </c>
      <c r="E641" s="1" t="s">
        <v>782</v>
      </c>
    </row>
    <row r="642" spans="1:5" x14ac:dyDescent="0.55000000000000004">
      <c r="A642" s="1" t="s">
        <v>3037</v>
      </c>
      <c r="B642" s="1" t="s">
        <v>52</v>
      </c>
      <c r="C642" s="1" t="s">
        <v>53</v>
      </c>
      <c r="D642" s="1" t="str">
        <f>"059-378-2311  "</f>
        <v xml:space="preserve">059-378-2311  </v>
      </c>
      <c r="E642" s="1" t="s">
        <v>3038</v>
      </c>
    </row>
    <row r="643" spans="1:5" x14ac:dyDescent="0.55000000000000004">
      <c r="A643" s="1" t="s">
        <v>700</v>
      </c>
      <c r="B643" s="1" t="s">
        <v>52</v>
      </c>
      <c r="C643" s="1" t="s">
        <v>53</v>
      </c>
      <c r="D643" s="1" t="str">
        <f>"059-378-2311  "</f>
        <v xml:space="preserve">059-378-2311  </v>
      </c>
      <c r="E643" s="1" t="s">
        <v>34</v>
      </c>
    </row>
    <row r="644" spans="1:5" x14ac:dyDescent="0.55000000000000004">
      <c r="A644" s="1" t="s">
        <v>653</v>
      </c>
      <c r="B644" s="1" t="s">
        <v>654</v>
      </c>
      <c r="C644" s="1" t="s">
        <v>655</v>
      </c>
      <c r="D644" s="1" t="str">
        <f>"059-386-2012  "</f>
        <v xml:space="preserve">059-386-2012  </v>
      </c>
      <c r="E644" s="1" t="s">
        <v>6</v>
      </c>
    </row>
    <row r="645" spans="1:5" x14ac:dyDescent="0.55000000000000004">
      <c r="A645" s="1" t="s">
        <v>807</v>
      </c>
      <c r="B645" s="1" t="s">
        <v>806</v>
      </c>
      <c r="C645" s="1" t="str">
        <f>"鈴鹿市白子3-14-5"</f>
        <v>鈴鹿市白子3-14-5</v>
      </c>
      <c r="D645" s="1" t="str">
        <f>"059-386-6211  "</f>
        <v xml:space="preserve">059-386-6211  </v>
      </c>
      <c r="E645" s="1" t="s">
        <v>14</v>
      </c>
    </row>
    <row r="646" spans="1:5" x14ac:dyDescent="0.55000000000000004">
      <c r="A646" s="1" t="s">
        <v>656</v>
      </c>
      <c r="B646" s="1" t="s">
        <v>657</v>
      </c>
      <c r="C646" s="1" t="str">
        <f>"鈴鹿市東磯山三丁目19-25"</f>
        <v>鈴鹿市東磯山三丁目19-25</v>
      </c>
      <c r="D646" s="1" t="str">
        <f>"059-386-1117  "</f>
        <v xml:space="preserve">059-386-1117  </v>
      </c>
      <c r="E646" s="1" t="s">
        <v>658</v>
      </c>
    </row>
    <row r="647" spans="1:5" x14ac:dyDescent="0.55000000000000004">
      <c r="A647" s="1" t="s">
        <v>264</v>
      </c>
      <c r="B647" s="1" t="s">
        <v>265</v>
      </c>
      <c r="C647" s="1" t="str">
        <f>"鈴鹿市野町東1-11-10"</f>
        <v>鈴鹿市野町東1-11-10</v>
      </c>
      <c r="D647" s="1" t="str">
        <f>"059-380-5006  "</f>
        <v xml:space="preserve">059-380-5006  </v>
      </c>
      <c r="E647" s="1" t="s">
        <v>34</v>
      </c>
    </row>
    <row r="648" spans="1:5" x14ac:dyDescent="0.55000000000000004">
      <c r="A648" s="1" t="s">
        <v>2777</v>
      </c>
      <c r="B648" s="1" t="s">
        <v>2778</v>
      </c>
      <c r="C648" s="1" t="str">
        <f>"鈴鹿市南江島町23-1"</f>
        <v>鈴鹿市南江島町23-1</v>
      </c>
      <c r="D648" s="1" t="str">
        <f>"059-387-0070  "</f>
        <v xml:space="preserve">059-387-0070  </v>
      </c>
      <c r="E648" s="1" t="s">
        <v>2779</v>
      </c>
    </row>
    <row r="649" spans="1:5" x14ac:dyDescent="0.55000000000000004">
      <c r="A649" s="1" t="s">
        <v>2565</v>
      </c>
      <c r="B649" s="1" t="s">
        <v>56</v>
      </c>
      <c r="C649" s="1" t="s">
        <v>2566</v>
      </c>
      <c r="D649" s="1" t="str">
        <f>"059-379-3868  "</f>
        <v xml:space="preserve">059-379-3868  </v>
      </c>
      <c r="E649" s="1" t="s">
        <v>1191</v>
      </c>
    </row>
    <row r="650" spans="1:5" x14ac:dyDescent="0.55000000000000004">
      <c r="A650" s="1" t="s">
        <v>1020</v>
      </c>
      <c r="B650" s="1" t="s">
        <v>1021</v>
      </c>
      <c r="C650" s="1" t="s">
        <v>1022</v>
      </c>
      <c r="D650" s="1" t="str">
        <f>"059-340-7411  "</f>
        <v xml:space="preserve">059-340-7411  </v>
      </c>
      <c r="E650" s="1" t="s">
        <v>1023</v>
      </c>
    </row>
    <row r="651" spans="1:5" x14ac:dyDescent="0.55000000000000004">
      <c r="A651" s="1" t="s">
        <v>1966</v>
      </c>
      <c r="B651" s="1" t="s">
        <v>130</v>
      </c>
      <c r="C651" s="1" t="s">
        <v>849</v>
      </c>
      <c r="D651" s="1" t="str">
        <f t="shared" ref="D651:D679" si="26">"059-375-1212  "</f>
        <v xml:space="preserve">059-375-1212  </v>
      </c>
      <c r="E651" s="1" t="s">
        <v>111</v>
      </c>
    </row>
    <row r="652" spans="1:5" x14ac:dyDescent="0.55000000000000004">
      <c r="A652" s="1" t="s">
        <v>2366</v>
      </c>
      <c r="B652" s="1" t="s">
        <v>130</v>
      </c>
      <c r="C652" s="1" t="s">
        <v>849</v>
      </c>
      <c r="D652" s="1" t="str">
        <f t="shared" si="26"/>
        <v xml:space="preserve">059-375-1212  </v>
      </c>
      <c r="E652" s="1" t="s">
        <v>6</v>
      </c>
    </row>
    <row r="653" spans="1:5" x14ac:dyDescent="0.55000000000000004">
      <c r="A653" s="1" t="s">
        <v>2375</v>
      </c>
      <c r="B653" s="1" t="s">
        <v>130</v>
      </c>
      <c r="C653" s="1" t="s">
        <v>849</v>
      </c>
      <c r="D653" s="1" t="str">
        <f t="shared" si="26"/>
        <v xml:space="preserve">059-375-1212  </v>
      </c>
      <c r="E653" s="1" t="s">
        <v>6</v>
      </c>
    </row>
    <row r="654" spans="1:5" x14ac:dyDescent="0.55000000000000004">
      <c r="A654" s="1" t="s">
        <v>2080</v>
      </c>
      <c r="B654" s="1" t="s">
        <v>130</v>
      </c>
      <c r="C654" s="1" t="s">
        <v>849</v>
      </c>
      <c r="D654" s="1" t="str">
        <f t="shared" si="26"/>
        <v xml:space="preserve">059-375-1212  </v>
      </c>
      <c r="E654" s="1" t="s">
        <v>1385</v>
      </c>
    </row>
    <row r="655" spans="1:5" x14ac:dyDescent="0.55000000000000004">
      <c r="A655" s="1" t="s">
        <v>2431</v>
      </c>
      <c r="B655" s="1" t="s">
        <v>130</v>
      </c>
      <c r="C655" s="1" t="s">
        <v>849</v>
      </c>
      <c r="D655" s="1" t="str">
        <f t="shared" si="26"/>
        <v xml:space="preserve">059-375-1212  </v>
      </c>
      <c r="E655" s="1" t="s">
        <v>123</v>
      </c>
    </row>
    <row r="656" spans="1:5" x14ac:dyDescent="0.55000000000000004">
      <c r="A656" s="1" t="s">
        <v>2529</v>
      </c>
      <c r="B656" s="1" t="s">
        <v>130</v>
      </c>
      <c r="C656" s="1" t="s">
        <v>849</v>
      </c>
      <c r="D656" s="1" t="str">
        <f t="shared" si="26"/>
        <v xml:space="preserve">059-375-1212  </v>
      </c>
      <c r="E656" s="1" t="s">
        <v>6</v>
      </c>
    </row>
    <row r="657" spans="1:5" x14ac:dyDescent="0.55000000000000004">
      <c r="A657" s="1" t="s">
        <v>2575</v>
      </c>
      <c r="B657" s="1" t="s">
        <v>130</v>
      </c>
      <c r="C657" s="1" t="s">
        <v>849</v>
      </c>
      <c r="D657" s="1" t="str">
        <f t="shared" si="26"/>
        <v xml:space="preserve">059-375-1212  </v>
      </c>
      <c r="E657" s="1" t="s">
        <v>34</v>
      </c>
    </row>
    <row r="658" spans="1:5" x14ac:dyDescent="0.55000000000000004">
      <c r="A658" s="1" t="s">
        <v>848</v>
      </c>
      <c r="B658" s="1" t="s">
        <v>130</v>
      </c>
      <c r="C658" s="1" t="s">
        <v>849</v>
      </c>
      <c r="D658" s="1" t="str">
        <f t="shared" si="26"/>
        <v xml:space="preserve">059-375-1212  </v>
      </c>
      <c r="E658" s="1" t="s">
        <v>111</v>
      </c>
    </row>
    <row r="659" spans="1:5" x14ac:dyDescent="0.55000000000000004">
      <c r="A659" s="1" t="s">
        <v>853</v>
      </c>
      <c r="B659" s="1" t="s">
        <v>130</v>
      </c>
      <c r="C659" s="1" t="s">
        <v>849</v>
      </c>
      <c r="D659" s="1" t="str">
        <f t="shared" si="26"/>
        <v xml:space="preserve">059-375-1212  </v>
      </c>
      <c r="E659" s="1" t="s">
        <v>854</v>
      </c>
    </row>
    <row r="660" spans="1:5" x14ac:dyDescent="0.55000000000000004">
      <c r="A660" s="1" t="s">
        <v>856</v>
      </c>
      <c r="B660" s="1" t="s">
        <v>130</v>
      </c>
      <c r="C660" s="1" t="s">
        <v>849</v>
      </c>
      <c r="D660" s="1" t="str">
        <f t="shared" si="26"/>
        <v xml:space="preserve">059-375-1212  </v>
      </c>
      <c r="E660" s="1" t="s">
        <v>216</v>
      </c>
    </row>
    <row r="661" spans="1:5" x14ac:dyDescent="0.55000000000000004">
      <c r="A661" s="1" t="s">
        <v>929</v>
      </c>
      <c r="B661" s="1" t="s">
        <v>130</v>
      </c>
      <c r="C661" s="1" t="s">
        <v>849</v>
      </c>
      <c r="D661" s="1" t="str">
        <f t="shared" si="26"/>
        <v xml:space="preserve">059-375-1212  </v>
      </c>
      <c r="E661" s="1" t="s">
        <v>930</v>
      </c>
    </row>
    <row r="662" spans="1:5" x14ac:dyDescent="0.55000000000000004">
      <c r="A662" s="1" t="s">
        <v>1247</v>
      </c>
      <c r="B662" s="1" t="s">
        <v>130</v>
      </c>
      <c r="C662" s="1" t="s">
        <v>849</v>
      </c>
      <c r="D662" s="1" t="str">
        <f t="shared" si="26"/>
        <v xml:space="preserve">059-375-1212  </v>
      </c>
      <c r="E662" s="1" t="s">
        <v>131</v>
      </c>
    </row>
    <row r="663" spans="1:5" x14ac:dyDescent="0.55000000000000004">
      <c r="A663" s="1" t="s">
        <v>1364</v>
      </c>
      <c r="B663" s="1" t="s">
        <v>130</v>
      </c>
      <c r="C663" s="1" t="s">
        <v>849</v>
      </c>
      <c r="D663" s="1" t="str">
        <f t="shared" si="26"/>
        <v xml:space="preserve">059-375-1212  </v>
      </c>
      <c r="E663" s="1" t="s">
        <v>7</v>
      </c>
    </row>
    <row r="664" spans="1:5" x14ac:dyDescent="0.55000000000000004">
      <c r="A664" s="1" t="s">
        <v>1444</v>
      </c>
      <c r="B664" s="1" t="s">
        <v>130</v>
      </c>
      <c r="C664" s="1" t="s">
        <v>849</v>
      </c>
      <c r="D664" s="1" t="str">
        <f t="shared" si="26"/>
        <v xml:space="preserve">059-375-1212  </v>
      </c>
      <c r="E664" s="1" t="s">
        <v>1274</v>
      </c>
    </row>
    <row r="665" spans="1:5" x14ac:dyDescent="0.55000000000000004">
      <c r="A665" s="1" t="s">
        <v>1445</v>
      </c>
      <c r="B665" s="1" t="s">
        <v>130</v>
      </c>
      <c r="C665" s="1" t="s">
        <v>849</v>
      </c>
      <c r="D665" s="1" t="str">
        <f t="shared" si="26"/>
        <v xml:space="preserve">059-375-1212  </v>
      </c>
      <c r="E665" s="1" t="s">
        <v>528</v>
      </c>
    </row>
    <row r="666" spans="1:5" x14ac:dyDescent="0.55000000000000004">
      <c r="A666" s="1" t="s">
        <v>1446</v>
      </c>
      <c r="B666" s="1" t="s">
        <v>130</v>
      </c>
      <c r="C666" s="1" t="s">
        <v>849</v>
      </c>
      <c r="D666" s="1" t="str">
        <f t="shared" si="26"/>
        <v xml:space="preserve">059-375-1212  </v>
      </c>
      <c r="E666" s="1" t="s">
        <v>14</v>
      </c>
    </row>
    <row r="667" spans="1:5" x14ac:dyDescent="0.55000000000000004">
      <c r="A667" s="1" t="s">
        <v>1451</v>
      </c>
      <c r="B667" s="1" t="s">
        <v>130</v>
      </c>
      <c r="C667" s="1" t="s">
        <v>849</v>
      </c>
      <c r="D667" s="1" t="str">
        <f t="shared" si="26"/>
        <v xml:space="preserve">059-375-1212  </v>
      </c>
      <c r="E667" s="1" t="s">
        <v>111</v>
      </c>
    </row>
    <row r="668" spans="1:5" x14ac:dyDescent="0.55000000000000004">
      <c r="A668" s="1" t="s">
        <v>1452</v>
      </c>
      <c r="B668" s="1" t="s">
        <v>130</v>
      </c>
      <c r="C668" s="1" t="s">
        <v>849</v>
      </c>
      <c r="D668" s="1" t="str">
        <f t="shared" si="26"/>
        <v xml:space="preserve">059-375-1212  </v>
      </c>
      <c r="E668" s="1" t="s">
        <v>22</v>
      </c>
    </row>
    <row r="669" spans="1:5" x14ac:dyDescent="0.55000000000000004">
      <c r="A669" s="1" t="s">
        <v>1453</v>
      </c>
      <c r="B669" s="1" t="s">
        <v>130</v>
      </c>
      <c r="C669" s="1" t="s">
        <v>849</v>
      </c>
      <c r="D669" s="1" t="str">
        <f t="shared" si="26"/>
        <v xml:space="preserve">059-375-1212  </v>
      </c>
      <c r="E669" s="1" t="s">
        <v>7</v>
      </c>
    </row>
    <row r="670" spans="1:5" x14ac:dyDescent="0.55000000000000004">
      <c r="A670" s="1" t="s">
        <v>1455</v>
      </c>
      <c r="B670" s="1" t="s">
        <v>130</v>
      </c>
      <c r="C670" s="1" t="s">
        <v>849</v>
      </c>
      <c r="D670" s="1" t="str">
        <f t="shared" si="26"/>
        <v xml:space="preserve">059-375-1212  </v>
      </c>
      <c r="E670" s="1" t="s">
        <v>23</v>
      </c>
    </row>
    <row r="671" spans="1:5" x14ac:dyDescent="0.55000000000000004">
      <c r="A671" s="1" t="s">
        <v>1709</v>
      </c>
      <c r="B671" s="1" t="s">
        <v>130</v>
      </c>
      <c r="C671" s="1" t="s">
        <v>849</v>
      </c>
      <c r="D671" s="1" t="str">
        <f t="shared" si="26"/>
        <v xml:space="preserve">059-375-1212  </v>
      </c>
      <c r="E671" s="1" t="s">
        <v>14</v>
      </c>
    </row>
    <row r="672" spans="1:5" x14ac:dyDescent="0.55000000000000004">
      <c r="A672" s="1" t="s">
        <v>2692</v>
      </c>
      <c r="B672" s="1" t="s">
        <v>130</v>
      </c>
      <c r="C672" s="1" t="s">
        <v>849</v>
      </c>
      <c r="D672" s="1" t="str">
        <f t="shared" si="26"/>
        <v xml:space="preserve">059-375-1212  </v>
      </c>
      <c r="E672" s="1" t="s">
        <v>2693</v>
      </c>
    </row>
    <row r="673" spans="1:5" x14ac:dyDescent="0.55000000000000004">
      <c r="A673" s="1" t="s">
        <v>2870</v>
      </c>
      <c r="B673" s="1" t="s">
        <v>130</v>
      </c>
      <c r="C673" s="1" t="s">
        <v>849</v>
      </c>
      <c r="D673" s="1" t="str">
        <f t="shared" si="26"/>
        <v xml:space="preserve">059-375-1212  </v>
      </c>
      <c r="E673" s="1" t="s">
        <v>233</v>
      </c>
    </row>
    <row r="674" spans="1:5" x14ac:dyDescent="0.55000000000000004">
      <c r="A674" s="1" t="s">
        <v>1740</v>
      </c>
      <c r="B674" s="1" t="s">
        <v>130</v>
      </c>
      <c r="C674" s="1" t="s">
        <v>849</v>
      </c>
      <c r="D674" s="1" t="str">
        <f t="shared" si="26"/>
        <v xml:space="preserve">059-375-1212  </v>
      </c>
      <c r="E674" s="1" t="s">
        <v>14</v>
      </c>
    </row>
    <row r="675" spans="1:5" x14ac:dyDescent="0.55000000000000004">
      <c r="A675" s="1" t="s">
        <v>1772</v>
      </c>
      <c r="B675" s="1" t="s">
        <v>130</v>
      </c>
      <c r="C675" s="1" t="s">
        <v>849</v>
      </c>
      <c r="D675" s="1" t="str">
        <f t="shared" si="26"/>
        <v xml:space="preserve">059-375-1212  </v>
      </c>
      <c r="E675" s="1" t="s">
        <v>23</v>
      </c>
    </row>
    <row r="676" spans="1:5" x14ac:dyDescent="0.55000000000000004">
      <c r="A676" s="1" t="s">
        <v>2601</v>
      </c>
      <c r="B676" s="1" t="s">
        <v>130</v>
      </c>
      <c r="C676" s="1" t="s">
        <v>849</v>
      </c>
      <c r="D676" s="1" t="str">
        <f t="shared" si="26"/>
        <v xml:space="preserve">059-375-1212  </v>
      </c>
      <c r="E676" s="1" t="s">
        <v>34</v>
      </c>
    </row>
    <row r="677" spans="1:5" x14ac:dyDescent="0.55000000000000004">
      <c r="A677" s="1" t="s">
        <v>418</v>
      </c>
      <c r="B677" s="1" t="s">
        <v>130</v>
      </c>
      <c r="C677" s="1" t="s">
        <v>849</v>
      </c>
      <c r="D677" s="1" t="str">
        <f t="shared" si="26"/>
        <v xml:space="preserve">059-375-1212  </v>
      </c>
      <c r="E677" s="1" t="s">
        <v>131</v>
      </c>
    </row>
    <row r="678" spans="1:5" x14ac:dyDescent="0.55000000000000004">
      <c r="A678" s="1" t="s">
        <v>2646</v>
      </c>
      <c r="B678" s="1" t="s">
        <v>130</v>
      </c>
      <c r="C678" s="1" t="s">
        <v>849</v>
      </c>
      <c r="D678" s="1" t="str">
        <f t="shared" si="26"/>
        <v xml:space="preserve">059-375-1212  </v>
      </c>
      <c r="E678" s="1" t="s">
        <v>1274</v>
      </c>
    </row>
    <row r="679" spans="1:5" x14ac:dyDescent="0.55000000000000004">
      <c r="A679" s="1" t="s">
        <v>1884</v>
      </c>
      <c r="B679" s="1" t="s">
        <v>130</v>
      </c>
      <c r="C679" s="1" t="s">
        <v>849</v>
      </c>
      <c r="D679" s="1" t="str">
        <f t="shared" si="26"/>
        <v xml:space="preserve">059-375-1212  </v>
      </c>
      <c r="E679" s="1" t="s">
        <v>6</v>
      </c>
    </row>
    <row r="680" spans="1:5" x14ac:dyDescent="0.55000000000000004">
      <c r="A680" s="1" t="s">
        <v>2202</v>
      </c>
      <c r="B680" s="1" t="s">
        <v>1795</v>
      </c>
      <c r="C680" s="1" t="s">
        <v>1796</v>
      </c>
      <c r="D680" s="1" t="str">
        <f>"059-381-0880  "</f>
        <v xml:space="preserve">059-381-0880  </v>
      </c>
      <c r="E680" s="1" t="s">
        <v>10</v>
      </c>
    </row>
    <row r="681" spans="1:5" x14ac:dyDescent="0.55000000000000004">
      <c r="A681" s="1" t="s">
        <v>2603</v>
      </c>
      <c r="B681" s="1" t="s">
        <v>1795</v>
      </c>
      <c r="C681" s="1" t="s">
        <v>1796</v>
      </c>
      <c r="D681" s="1" t="str">
        <f>"059-381-0880  "</f>
        <v xml:space="preserve">059-381-0880  </v>
      </c>
      <c r="E681" s="1" t="s">
        <v>6</v>
      </c>
    </row>
    <row r="682" spans="1:5" x14ac:dyDescent="0.55000000000000004">
      <c r="A682" s="1" t="s">
        <v>1794</v>
      </c>
      <c r="B682" s="1" t="s">
        <v>1795</v>
      </c>
      <c r="C682" s="1" t="s">
        <v>1796</v>
      </c>
      <c r="D682" s="1" t="str">
        <f>"059-381-0880  "</f>
        <v xml:space="preserve">059-381-0880  </v>
      </c>
      <c r="E682" s="1" t="s">
        <v>6</v>
      </c>
    </row>
    <row r="683" spans="1:5" x14ac:dyDescent="0.55000000000000004">
      <c r="A683" s="1" t="s">
        <v>2901</v>
      </c>
      <c r="B683" s="1" t="s">
        <v>1795</v>
      </c>
      <c r="C683" s="1" t="s">
        <v>1796</v>
      </c>
      <c r="D683" s="1" t="str">
        <f>"059-381-0880  "</f>
        <v xml:space="preserve">059-381-0880  </v>
      </c>
      <c r="E683" s="1" t="s">
        <v>6</v>
      </c>
    </row>
    <row r="684" spans="1:5" x14ac:dyDescent="0.55000000000000004">
      <c r="A684" s="1" t="s">
        <v>2351</v>
      </c>
      <c r="B684" s="1" t="s">
        <v>2352</v>
      </c>
      <c r="C684" s="1" t="str">
        <f>"亀山市亀田町380-4"</f>
        <v>亀山市亀田町380-4</v>
      </c>
      <c r="D684" s="1" t="str">
        <f>"0595-83-2121  "</f>
        <v xml:space="preserve">0595-83-2121  </v>
      </c>
      <c r="E684" s="1" t="s">
        <v>19</v>
      </c>
    </row>
    <row r="685" spans="1:5" x14ac:dyDescent="0.55000000000000004">
      <c r="A685" s="1" t="s">
        <v>742</v>
      </c>
      <c r="B685" s="1" t="s">
        <v>743</v>
      </c>
      <c r="C685" s="1" t="str">
        <f>"亀山市栄町1488-17"</f>
        <v>亀山市栄町1488-17</v>
      </c>
      <c r="D685" s="1" t="str">
        <f>"0595-97-3335  "</f>
        <v xml:space="preserve">0595-97-3335  </v>
      </c>
      <c r="E685" s="1" t="s">
        <v>299</v>
      </c>
    </row>
    <row r="686" spans="1:5" x14ac:dyDescent="0.55000000000000004">
      <c r="A686" s="1" t="s">
        <v>2775</v>
      </c>
      <c r="B686" s="1" t="s">
        <v>2776</v>
      </c>
      <c r="C686" s="1" t="str">
        <f>"亀山市江ケ室2-4-21"</f>
        <v>亀山市江ケ室2-4-21</v>
      </c>
      <c r="D686" s="1" t="str">
        <f>"0595-84-1700  "</f>
        <v xml:space="preserve">0595-84-1700  </v>
      </c>
      <c r="E686" s="1" t="s">
        <v>14</v>
      </c>
    </row>
    <row r="687" spans="1:5" x14ac:dyDescent="0.55000000000000004">
      <c r="A687" s="1" t="s">
        <v>1261</v>
      </c>
      <c r="B687" s="1" t="s">
        <v>1262</v>
      </c>
      <c r="C687" s="1" t="s">
        <v>1263</v>
      </c>
      <c r="D687" s="1" t="str">
        <f>"0595-85-3636  "</f>
        <v xml:space="preserve">0595-85-3636  </v>
      </c>
      <c r="E687" s="1" t="s">
        <v>1264</v>
      </c>
    </row>
    <row r="688" spans="1:5" x14ac:dyDescent="0.55000000000000004">
      <c r="A688" s="1" t="s">
        <v>303</v>
      </c>
      <c r="B688" s="1" t="s">
        <v>304</v>
      </c>
      <c r="C688" s="1" t="str">
        <f>"亀山市本町2-9-33"</f>
        <v>亀山市本町2-9-33</v>
      </c>
      <c r="D688" s="1" t="str">
        <f>"0595-82-0017  "</f>
        <v xml:space="preserve">0595-82-0017  </v>
      </c>
      <c r="E688" s="1" t="s">
        <v>106</v>
      </c>
    </row>
    <row r="689" spans="1:5" x14ac:dyDescent="0.55000000000000004">
      <c r="A689" s="1" t="s">
        <v>2740</v>
      </c>
      <c r="B689" s="1" t="s">
        <v>2741</v>
      </c>
      <c r="C689" s="1" t="str">
        <f>"亀山市アイリス町14-7"</f>
        <v>亀山市アイリス町14-7</v>
      </c>
      <c r="D689" s="1" t="str">
        <f>"0595-84-3536  "</f>
        <v xml:space="preserve">0595-84-3536  </v>
      </c>
      <c r="E689" s="1" t="s">
        <v>2742</v>
      </c>
    </row>
    <row r="690" spans="1:5" x14ac:dyDescent="0.55000000000000004">
      <c r="A690" s="1" t="s">
        <v>1266</v>
      </c>
      <c r="B690" s="1" t="s">
        <v>1267</v>
      </c>
      <c r="C690" s="1" t="str">
        <f>"亀山市野村３丁目19-31"</f>
        <v>亀山市野村３丁目19-31</v>
      </c>
      <c r="D690" s="1" t="str">
        <f>"0595-82-0405  "</f>
        <v xml:space="preserve">0595-82-0405  </v>
      </c>
      <c r="E690" s="1" t="s">
        <v>6</v>
      </c>
    </row>
    <row r="691" spans="1:5" x14ac:dyDescent="0.55000000000000004">
      <c r="A691" s="1" t="s">
        <v>1929</v>
      </c>
      <c r="B691" s="1" t="s">
        <v>1930</v>
      </c>
      <c r="C691" s="1" t="str">
        <f>"亀山市川合町1155-9"</f>
        <v>亀山市川合町1155-9</v>
      </c>
      <c r="D691" s="1" t="str">
        <f>"0595-96-9488  "</f>
        <v xml:space="preserve">0595-96-9488  </v>
      </c>
      <c r="E691" s="1" t="s">
        <v>19</v>
      </c>
    </row>
    <row r="692" spans="1:5" x14ac:dyDescent="0.55000000000000004">
      <c r="A692" s="1" t="s">
        <v>520</v>
      </c>
      <c r="B692" s="1" t="s">
        <v>521</v>
      </c>
      <c r="C692" s="1" t="str">
        <f>"亀山市東台町1-17"</f>
        <v>亀山市東台町1-17</v>
      </c>
      <c r="D692" s="1" t="str">
        <f>"0595-82-0121  "</f>
        <v xml:space="preserve">0595-82-0121  </v>
      </c>
      <c r="E692" s="1" t="s">
        <v>522</v>
      </c>
    </row>
    <row r="693" spans="1:5" x14ac:dyDescent="0.55000000000000004">
      <c r="A693" s="1" t="s">
        <v>1867</v>
      </c>
      <c r="B693" s="1" t="s">
        <v>1868</v>
      </c>
      <c r="C693" s="1" t="s">
        <v>1869</v>
      </c>
      <c r="D693" s="1" t="str">
        <f>"0595-84-5858  "</f>
        <v xml:space="preserve">0595-84-5858  </v>
      </c>
      <c r="E693" s="1" t="s">
        <v>6</v>
      </c>
    </row>
    <row r="694" spans="1:5" x14ac:dyDescent="0.55000000000000004">
      <c r="A694" s="1" t="s">
        <v>2260</v>
      </c>
      <c r="B694" s="1" t="s">
        <v>2261</v>
      </c>
      <c r="C694" s="1" t="str">
        <f>"亀山市天神2-10-38"</f>
        <v>亀山市天神2-10-38</v>
      </c>
      <c r="D694" s="1" t="str">
        <f>"0595-83-1195  "</f>
        <v xml:space="preserve">0595-83-1195  </v>
      </c>
      <c r="E694" s="1" t="s">
        <v>34</v>
      </c>
    </row>
    <row r="695" spans="1:5" x14ac:dyDescent="0.55000000000000004">
      <c r="A695" s="1" t="s">
        <v>2850</v>
      </c>
      <c r="B695" s="1" t="s">
        <v>109</v>
      </c>
      <c r="C695" s="1" t="s">
        <v>2851</v>
      </c>
      <c r="D695" s="1" t="str">
        <f>"0595-84-0300  "</f>
        <v xml:space="preserve">0595-84-0300  </v>
      </c>
      <c r="E695" s="1" t="s">
        <v>6</v>
      </c>
    </row>
    <row r="696" spans="1:5" x14ac:dyDescent="0.55000000000000004">
      <c r="A696" s="1" t="s">
        <v>2258</v>
      </c>
      <c r="B696" s="1" t="s">
        <v>2259</v>
      </c>
      <c r="C696" s="1" t="s">
        <v>2817</v>
      </c>
      <c r="D696" s="1" t="str">
        <f>"0595-83-0990  "</f>
        <v xml:space="preserve">0595-83-0990  </v>
      </c>
      <c r="E696" s="1" t="s">
        <v>6</v>
      </c>
    </row>
    <row r="697" spans="1:5" x14ac:dyDescent="0.55000000000000004">
      <c r="A697" s="1" t="s">
        <v>2986</v>
      </c>
      <c r="B697" s="1" t="s">
        <v>2259</v>
      </c>
      <c r="C697" s="1" t="s">
        <v>2817</v>
      </c>
      <c r="D697" s="1" t="str">
        <f>"0595-83-0990  "</f>
        <v xml:space="preserve">0595-83-0990  </v>
      </c>
      <c r="E697" s="1" t="s">
        <v>6</v>
      </c>
    </row>
    <row r="698" spans="1:5" x14ac:dyDescent="0.55000000000000004">
      <c r="A698" s="1" t="s">
        <v>2816</v>
      </c>
      <c r="B698" s="1" t="s">
        <v>2259</v>
      </c>
      <c r="C698" s="1" t="s">
        <v>2817</v>
      </c>
      <c r="D698" s="1" t="str">
        <f>"0595-83-0990  "</f>
        <v xml:space="preserve">0595-83-0990  </v>
      </c>
      <c r="E698" s="1" t="s">
        <v>6</v>
      </c>
    </row>
    <row r="699" spans="1:5" x14ac:dyDescent="0.55000000000000004">
      <c r="A699" s="1" t="s">
        <v>2031</v>
      </c>
      <c r="B699" s="1" t="s">
        <v>2032</v>
      </c>
      <c r="C699" s="1" t="str">
        <f>"亀山市栄町1488-215"</f>
        <v>亀山市栄町1488-215</v>
      </c>
      <c r="D699" s="1" t="str">
        <f>"0595-83-0077  "</f>
        <v xml:space="preserve">0595-83-0077  </v>
      </c>
      <c r="E699" s="1" t="s">
        <v>1957</v>
      </c>
    </row>
    <row r="700" spans="1:5" x14ac:dyDescent="0.55000000000000004">
      <c r="A700" s="1" t="s">
        <v>2041</v>
      </c>
      <c r="B700" s="1" t="s">
        <v>2291</v>
      </c>
      <c r="C700" s="1" t="s">
        <v>2292</v>
      </c>
      <c r="D700" s="1" t="str">
        <f>"0595-83-0555  "</f>
        <v xml:space="preserve">0595-83-0555  </v>
      </c>
      <c r="E700" s="1" t="s">
        <v>2118</v>
      </c>
    </row>
    <row r="701" spans="1:5" x14ac:dyDescent="0.55000000000000004">
      <c r="A701" s="1" t="s">
        <v>1047</v>
      </c>
      <c r="B701" s="1" t="s">
        <v>1048</v>
      </c>
      <c r="C701" s="1" t="str">
        <f>"亀山市北町9-15"</f>
        <v>亀山市北町9-15</v>
      </c>
      <c r="D701" s="1" t="str">
        <f>"0595-84-1800  "</f>
        <v xml:space="preserve">0595-84-1800  </v>
      </c>
      <c r="E701" s="1" t="s">
        <v>34</v>
      </c>
    </row>
    <row r="702" spans="1:5" x14ac:dyDescent="0.55000000000000004">
      <c r="A702" s="1" t="s">
        <v>2726</v>
      </c>
      <c r="B702" s="1" t="s">
        <v>2727</v>
      </c>
      <c r="C702" s="1" t="str">
        <f>"亀山市天神2丁目3－6"</f>
        <v>亀山市天神2丁目3－6</v>
      </c>
      <c r="D702" s="1" t="str">
        <f>"0595-82-0755  "</f>
        <v xml:space="preserve">0595-82-0755  </v>
      </c>
      <c r="E702" s="1" t="s">
        <v>6</v>
      </c>
    </row>
    <row r="703" spans="1:5" x14ac:dyDescent="0.55000000000000004">
      <c r="A703" s="1" t="s">
        <v>2898</v>
      </c>
      <c r="B703" s="1" t="s">
        <v>1901</v>
      </c>
      <c r="C703" s="1" t="s">
        <v>2899</v>
      </c>
      <c r="D703" s="1" t="str">
        <f>"0595-82-1335  "</f>
        <v xml:space="preserve">0595-82-1335  </v>
      </c>
      <c r="E703" s="1" t="s">
        <v>6</v>
      </c>
    </row>
    <row r="704" spans="1:5" x14ac:dyDescent="0.55000000000000004">
      <c r="A704" s="1" t="s">
        <v>799</v>
      </c>
      <c r="B704" s="1" t="s">
        <v>800</v>
      </c>
      <c r="C704" s="1" t="str">
        <f>"亀山市南崎町735-16"</f>
        <v>亀山市南崎町735-16</v>
      </c>
      <c r="D704" s="1" t="str">
        <f>"0595-98-4112  "</f>
        <v xml:space="preserve">0595-98-4112  </v>
      </c>
      <c r="E704" s="1" t="s">
        <v>10</v>
      </c>
    </row>
    <row r="705" spans="1:5" x14ac:dyDescent="0.55000000000000004">
      <c r="A705" s="1" t="s">
        <v>472</v>
      </c>
      <c r="B705" s="1" t="s">
        <v>473</v>
      </c>
      <c r="C705" s="1" t="str">
        <f>"亀山市南野町4-15"</f>
        <v>亀山市南野町4-15</v>
      </c>
      <c r="D705" s="1" t="str">
        <f>"0595-82-1431  "</f>
        <v xml:space="preserve">0595-82-1431  </v>
      </c>
      <c r="E705" s="1" t="s">
        <v>474</v>
      </c>
    </row>
    <row r="706" spans="1:5" x14ac:dyDescent="0.55000000000000004">
      <c r="A706" s="1" t="s">
        <v>2300</v>
      </c>
      <c r="B706" s="1" t="s">
        <v>2301</v>
      </c>
      <c r="C706" s="1" t="s">
        <v>3080</v>
      </c>
      <c r="D706" s="1" t="str">
        <f>"0595-63-9321  "</f>
        <v xml:space="preserve">0595-63-9321  </v>
      </c>
      <c r="E706" s="1" t="s">
        <v>2302</v>
      </c>
    </row>
    <row r="707" spans="1:5" x14ac:dyDescent="0.55000000000000004">
      <c r="A707" s="1" t="s">
        <v>2161</v>
      </c>
      <c r="B707" s="1" t="s">
        <v>2162</v>
      </c>
      <c r="C707" s="1" t="s">
        <v>2163</v>
      </c>
      <c r="D707" s="1" t="str">
        <f>"0595-68-8555  "</f>
        <v xml:space="preserve">0595-68-8555  </v>
      </c>
      <c r="E707" s="1" t="s">
        <v>2164</v>
      </c>
    </row>
    <row r="708" spans="1:5" x14ac:dyDescent="0.55000000000000004">
      <c r="A708" s="1" t="s">
        <v>2038</v>
      </c>
      <c r="B708" s="1" t="s">
        <v>2039</v>
      </c>
      <c r="C708" s="1" t="s">
        <v>2040</v>
      </c>
      <c r="D708" s="1" t="str">
        <f>"0595-62-2105  "</f>
        <v xml:space="preserve">0595-62-2105  </v>
      </c>
      <c r="E708" s="1" t="s">
        <v>1873</v>
      </c>
    </row>
    <row r="709" spans="1:5" x14ac:dyDescent="0.55000000000000004">
      <c r="A709" s="1" t="s">
        <v>2639</v>
      </c>
      <c r="B709" s="1" t="s">
        <v>2640</v>
      </c>
      <c r="C709" s="1" t="s">
        <v>2641</v>
      </c>
      <c r="D709" s="1" t="str">
        <f>"0595-61-3366  "</f>
        <v xml:space="preserve">0595-61-3366  </v>
      </c>
      <c r="E709" s="1" t="s">
        <v>796</v>
      </c>
    </row>
    <row r="710" spans="1:5" x14ac:dyDescent="0.55000000000000004">
      <c r="A710" s="1" t="s">
        <v>1881</v>
      </c>
      <c r="B710" s="1" t="s">
        <v>1882</v>
      </c>
      <c r="C710" s="1" t="s">
        <v>1883</v>
      </c>
      <c r="D710" s="1" t="str">
        <f>"0595-61-2332  "</f>
        <v xml:space="preserve">0595-61-2332  </v>
      </c>
      <c r="E710" s="1" t="s">
        <v>81</v>
      </c>
    </row>
    <row r="711" spans="1:5" x14ac:dyDescent="0.55000000000000004">
      <c r="A711" s="1" t="s">
        <v>1228</v>
      </c>
      <c r="B711" s="1" t="s">
        <v>1229</v>
      </c>
      <c r="C711" s="1" t="s">
        <v>1230</v>
      </c>
      <c r="D711" s="1" t="str">
        <f>"0595-62-0500  "</f>
        <v xml:space="preserve">0595-62-0500  </v>
      </c>
      <c r="E711" s="1" t="s">
        <v>1231</v>
      </c>
    </row>
    <row r="712" spans="1:5" x14ac:dyDescent="0.55000000000000004">
      <c r="A712" s="1" t="s">
        <v>1579</v>
      </c>
      <c r="B712" s="1" t="s">
        <v>1580</v>
      </c>
      <c r="C712" s="1" t="s">
        <v>1581</v>
      </c>
      <c r="D712" s="1" t="str">
        <f>"0595-65-2088  "</f>
        <v xml:space="preserve">0595-65-2088  </v>
      </c>
      <c r="E712" s="1" t="s">
        <v>6</v>
      </c>
    </row>
    <row r="713" spans="1:5" x14ac:dyDescent="0.55000000000000004">
      <c r="A713" s="1" t="s">
        <v>2166</v>
      </c>
      <c r="B713" s="1" t="s">
        <v>2167</v>
      </c>
      <c r="C713" s="1" t="str">
        <f>"名張市鴻之台3-34"</f>
        <v>名張市鴻之台3-34</v>
      </c>
      <c r="D713" s="1" t="str">
        <f>"0595-63-1133  "</f>
        <v xml:space="preserve">0595-63-1133  </v>
      </c>
      <c r="E713" s="1" t="s">
        <v>22</v>
      </c>
    </row>
    <row r="714" spans="1:5" x14ac:dyDescent="0.55000000000000004">
      <c r="A714" s="1" t="s">
        <v>1117</v>
      </c>
      <c r="B714" s="1" t="s">
        <v>1118</v>
      </c>
      <c r="C714" s="1" t="s">
        <v>1119</v>
      </c>
      <c r="D714" s="1" t="str">
        <f t="shared" ref="D714:D719" si="27">"0595-63-9001  "</f>
        <v xml:space="preserve">0595-63-9001  </v>
      </c>
      <c r="E714" s="1" t="s">
        <v>1120</v>
      </c>
    </row>
    <row r="715" spans="1:5" x14ac:dyDescent="0.55000000000000004">
      <c r="A715" s="1" t="s">
        <v>1121</v>
      </c>
      <c r="B715" s="1" t="s">
        <v>1118</v>
      </c>
      <c r="C715" s="1" t="s">
        <v>1119</v>
      </c>
      <c r="D715" s="1" t="str">
        <f t="shared" si="27"/>
        <v xml:space="preserve">0595-63-9001  </v>
      </c>
      <c r="E715" s="1" t="s">
        <v>23</v>
      </c>
    </row>
    <row r="716" spans="1:5" x14ac:dyDescent="0.55000000000000004">
      <c r="A716" s="1" t="s">
        <v>1122</v>
      </c>
      <c r="B716" s="1" t="s">
        <v>1118</v>
      </c>
      <c r="C716" s="1" t="s">
        <v>1119</v>
      </c>
      <c r="D716" s="1" t="str">
        <f t="shared" si="27"/>
        <v xml:space="preserve">0595-63-9001  </v>
      </c>
      <c r="E716" s="1" t="s">
        <v>6</v>
      </c>
    </row>
    <row r="717" spans="1:5" x14ac:dyDescent="0.55000000000000004">
      <c r="A717" s="1" t="s">
        <v>1123</v>
      </c>
      <c r="B717" s="1" t="s">
        <v>1118</v>
      </c>
      <c r="C717" s="1" t="s">
        <v>1119</v>
      </c>
      <c r="D717" s="1" t="str">
        <f t="shared" si="27"/>
        <v xml:space="preserve">0595-63-9001  </v>
      </c>
      <c r="E717" s="1" t="s">
        <v>1124</v>
      </c>
    </row>
    <row r="718" spans="1:5" x14ac:dyDescent="0.55000000000000004">
      <c r="A718" s="1" t="s">
        <v>1125</v>
      </c>
      <c r="B718" s="1" t="s">
        <v>1118</v>
      </c>
      <c r="C718" s="1" t="s">
        <v>1119</v>
      </c>
      <c r="D718" s="1" t="str">
        <f t="shared" si="27"/>
        <v xml:space="preserve">0595-63-9001  </v>
      </c>
      <c r="E718" s="1" t="s">
        <v>1120</v>
      </c>
    </row>
    <row r="719" spans="1:5" x14ac:dyDescent="0.55000000000000004">
      <c r="A719" s="1" t="s">
        <v>2177</v>
      </c>
      <c r="B719" s="1" t="s">
        <v>1118</v>
      </c>
      <c r="C719" s="1" t="s">
        <v>1119</v>
      </c>
      <c r="D719" s="1" t="str">
        <f t="shared" si="27"/>
        <v xml:space="preserve">0595-63-9001  </v>
      </c>
      <c r="E719" s="1" t="s">
        <v>1120</v>
      </c>
    </row>
    <row r="720" spans="1:5" x14ac:dyDescent="0.55000000000000004">
      <c r="A720" s="1" t="s">
        <v>300</v>
      </c>
      <c r="B720" s="1" t="s">
        <v>301</v>
      </c>
      <c r="C720" s="1" t="str">
        <f>"名張市赤目町丈六247-2"</f>
        <v>名張市赤目町丈六247-2</v>
      </c>
      <c r="D720" s="1" t="str">
        <f>"0595-64-8211  "</f>
        <v xml:space="preserve">0595-64-8211  </v>
      </c>
      <c r="E720" s="1" t="s">
        <v>302</v>
      </c>
    </row>
    <row r="721" spans="1:5" x14ac:dyDescent="0.55000000000000004">
      <c r="A721" s="1" t="s">
        <v>172</v>
      </c>
      <c r="B721" s="1" t="s">
        <v>173</v>
      </c>
      <c r="C721" s="1" t="s">
        <v>174</v>
      </c>
      <c r="D721" s="1" t="str">
        <f>"0595-64-7655  "</f>
        <v xml:space="preserve">0595-64-7655  </v>
      </c>
      <c r="E721" s="1" t="s">
        <v>107</v>
      </c>
    </row>
    <row r="722" spans="1:5" x14ac:dyDescent="0.55000000000000004">
      <c r="A722" s="1" t="s">
        <v>390</v>
      </c>
      <c r="B722" s="1" t="s">
        <v>391</v>
      </c>
      <c r="C722" s="1" t="str">
        <f>"名張市桔梗が丘１番町4-70"</f>
        <v>名張市桔梗が丘１番町4-70</v>
      </c>
      <c r="D722" s="1" t="str">
        <f>"0595-65-5251  "</f>
        <v xml:space="preserve">0595-65-5251  </v>
      </c>
      <c r="E722" s="1" t="s">
        <v>34</v>
      </c>
    </row>
    <row r="723" spans="1:5" x14ac:dyDescent="0.55000000000000004">
      <c r="A723" s="1" t="s">
        <v>645</v>
      </c>
      <c r="B723" s="1" t="s">
        <v>646</v>
      </c>
      <c r="C723" s="1" t="s">
        <v>647</v>
      </c>
      <c r="D723" s="1" t="str">
        <f>"0595-67-1515  "</f>
        <v xml:space="preserve">0595-67-1515  </v>
      </c>
      <c r="E723" s="1" t="s">
        <v>528</v>
      </c>
    </row>
    <row r="724" spans="1:5" x14ac:dyDescent="0.55000000000000004">
      <c r="A724" s="1" t="s">
        <v>593</v>
      </c>
      <c r="B724" s="1" t="s">
        <v>594</v>
      </c>
      <c r="C724" s="1" t="s">
        <v>595</v>
      </c>
      <c r="D724" s="1" t="str">
        <f>"0595-63-0345  "</f>
        <v xml:space="preserve">0595-63-0345  </v>
      </c>
      <c r="E724" s="1" t="s">
        <v>7</v>
      </c>
    </row>
    <row r="725" spans="1:5" x14ac:dyDescent="0.55000000000000004">
      <c r="A725" s="1" t="s">
        <v>15</v>
      </c>
      <c r="B725" s="1" t="s">
        <v>16</v>
      </c>
      <c r="C725" s="1" t="str">
        <f>"名張市百合が丘東2-132-2"</f>
        <v>名張市百合が丘東2-132-2</v>
      </c>
      <c r="D725" s="1" t="str">
        <f>"0595-61-1231  "</f>
        <v xml:space="preserve">0595-61-1231  </v>
      </c>
      <c r="E725" s="1" t="s">
        <v>2210</v>
      </c>
    </row>
    <row r="726" spans="1:5" x14ac:dyDescent="0.55000000000000004">
      <c r="A726" s="1" t="s">
        <v>2514</v>
      </c>
      <c r="B726" s="1" t="s">
        <v>13</v>
      </c>
      <c r="C726" s="1" t="s">
        <v>2515</v>
      </c>
      <c r="D726" s="1" t="str">
        <f>"0595-62-3051  "</f>
        <v xml:space="preserve">0595-62-3051  </v>
      </c>
      <c r="E726" s="1" t="s">
        <v>216</v>
      </c>
    </row>
    <row r="727" spans="1:5" x14ac:dyDescent="0.55000000000000004">
      <c r="A727" s="1" t="s">
        <v>92</v>
      </c>
      <c r="B727" s="1" t="s">
        <v>94</v>
      </c>
      <c r="C727" s="1" t="str">
        <f>"名張市東町1901-1"</f>
        <v>名張市東町1901-1</v>
      </c>
      <c r="D727" s="1" t="str">
        <f>"0595-64-1717  "</f>
        <v xml:space="preserve">0595-64-1717  </v>
      </c>
      <c r="E727" s="1" t="s">
        <v>2957</v>
      </c>
    </row>
    <row r="728" spans="1:5" x14ac:dyDescent="0.55000000000000004">
      <c r="A728" s="1" t="s">
        <v>2977</v>
      </c>
      <c r="B728" s="1" t="s">
        <v>2978</v>
      </c>
      <c r="C728" s="1" t="str">
        <f>"名張市桔梗が丘２番町7-16"</f>
        <v>名張市桔梗が丘２番町7-16</v>
      </c>
      <c r="D728" s="1" t="str">
        <f>"0595-41-0855  "</f>
        <v xml:space="preserve">0595-41-0855  </v>
      </c>
      <c r="E728" s="1" t="s">
        <v>6</v>
      </c>
    </row>
    <row r="729" spans="1:5" x14ac:dyDescent="0.55000000000000004">
      <c r="A729" s="1" t="s">
        <v>2579</v>
      </c>
      <c r="B729" s="1" t="s">
        <v>2580</v>
      </c>
      <c r="C729" s="1" t="s">
        <v>2581</v>
      </c>
      <c r="D729" s="1" t="str">
        <f>"0595-66-1190  "</f>
        <v xml:space="preserve">0595-66-1190  </v>
      </c>
      <c r="E729" s="1" t="s">
        <v>2582</v>
      </c>
    </row>
    <row r="730" spans="1:5" x14ac:dyDescent="0.55000000000000004">
      <c r="A730" s="1" t="s">
        <v>2867</v>
      </c>
      <c r="B730" s="1" t="s">
        <v>2580</v>
      </c>
      <c r="C730" s="1" t="s">
        <v>2581</v>
      </c>
      <c r="D730" s="1" t="str">
        <f>"0595-66-1190  "</f>
        <v xml:space="preserve">0595-66-1190  </v>
      </c>
      <c r="E730" s="1" t="s">
        <v>2868</v>
      </c>
    </row>
    <row r="731" spans="1:5" x14ac:dyDescent="0.55000000000000004">
      <c r="A731" s="1" t="s">
        <v>2798</v>
      </c>
      <c r="B731" s="1" t="s">
        <v>2799</v>
      </c>
      <c r="C731" s="1" t="s">
        <v>2800</v>
      </c>
      <c r="D731" s="1" t="str">
        <f>"0595-64-2000  "</f>
        <v xml:space="preserve">0595-64-2000  </v>
      </c>
      <c r="E731" s="1" t="s">
        <v>2801</v>
      </c>
    </row>
    <row r="732" spans="1:5" x14ac:dyDescent="0.55000000000000004">
      <c r="A732" s="1" t="s">
        <v>404</v>
      </c>
      <c r="B732" s="1" t="s">
        <v>405</v>
      </c>
      <c r="C732" s="1" t="s">
        <v>406</v>
      </c>
      <c r="D732" s="1" t="str">
        <f>"0595-64-8088  "</f>
        <v xml:space="preserve">0595-64-8088  </v>
      </c>
      <c r="E732" s="1" t="s">
        <v>34</v>
      </c>
    </row>
    <row r="733" spans="1:5" x14ac:dyDescent="0.55000000000000004">
      <c r="A733" s="1" t="s">
        <v>17</v>
      </c>
      <c r="B733" s="1" t="s">
        <v>18</v>
      </c>
      <c r="C733" s="1" t="str">
        <f>"名張市桔梗が丘5-4-1"</f>
        <v>名張市桔梗が丘5-4-1</v>
      </c>
      <c r="D733" s="1" t="str">
        <f>"0595-65-5355  "</f>
        <v xml:space="preserve">0595-65-5355  </v>
      </c>
      <c r="E733" s="1" t="s">
        <v>2788</v>
      </c>
    </row>
    <row r="734" spans="1:5" x14ac:dyDescent="0.55000000000000004">
      <c r="A734" s="1" t="s">
        <v>789</v>
      </c>
      <c r="B734" s="1" t="s">
        <v>790</v>
      </c>
      <c r="C734" s="1" t="str">
        <f>"名張市桔梗が丘7番町3-1813-14"</f>
        <v>名張市桔梗が丘7番町3-1813-14</v>
      </c>
      <c r="D734" s="1" t="str">
        <f>"0595-66-0007  "</f>
        <v xml:space="preserve">0595-66-0007  </v>
      </c>
      <c r="E734" s="1" t="s">
        <v>34</v>
      </c>
    </row>
    <row r="735" spans="1:5" x14ac:dyDescent="0.55000000000000004">
      <c r="A735" s="1" t="s">
        <v>2971</v>
      </c>
      <c r="B735" s="1" t="s">
        <v>121</v>
      </c>
      <c r="C735" s="1" t="str">
        <f>"名張市百合が丘西1-178"</f>
        <v>名張市百合が丘西1-178</v>
      </c>
      <c r="D735" s="1" t="str">
        <f t="shared" ref="D735:D747" si="28">"0595-61-1100  "</f>
        <v xml:space="preserve">0595-61-1100  </v>
      </c>
      <c r="E735" s="1" t="s">
        <v>2972</v>
      </c>
    </row>
    <row r="736" spans="1:5" x14ac:dyDescent="0.55000000000000004">
      <c r="A736" s="1" t="s">
        <v>2927</v>
      </c>
      <c r="B736" s="1" t="s">
        <v>121</v>
      </c>
      <c r="C736" s="1" t="s">
        <v>1147</v>
      </c>
      <c r="D736" s="1" t="str">
        <f t="shared" si="28"/>
        <v xml:space="preserve">0595-61-1100  </v>
      </c>
      <c r="E736" s="1" t="s">
        <v>115</v>
      </c>
    </row>
    <row r="737" spans="1:5" x14ac:dyDescent="0.55000000000000004">
      <c r="A737" s="1" t="s">
        <v>2486</v>
      </c>
      <c r="B737" s="1" t="s">
        <v>121</v>
      </c>
      <c r="C737" s="1" t="s">
        <v>1147</v>
      </c>
      <c r="D737" s="1" t="str">
        <f t="shared" si="28"/>
        <v xml:space="preserve">0595-61-1100  </v>
      </c>
      <c r="E737" s="1" t="s">
        <v>14</v>
      </c>
    </row>
    <row r="738" spans="1:5" x14ac:dyDescent="0.55000000000000004">
      <c r="A738" s="1" t="s">
        <v>1146</v>
      </c>
      <c r="B738" s="1" t="s">
        <v>121</v>
      </c>
      <c r="C738" s="1" t="s">
        <v>1147</v>
      </c>
      <c r="D738" s="1" t="str">
        <f t="shared" si="28"/>
        <v xml:space="preserve">0595-61-1100  </v>
      </c>
      <c r="E738" s="1" t="s">
        <v>135</v>
      </c>
    </row>
    <row r="739" spans="1:5" x14ac:dyDescent="0.55000000000000004">
      <c r="A739" s="1" t="s">
        <v>1152</v>
      </c>
      <c r="B739" s="1" t="s">
        <v>121</v>
      </c>
      <c r="C739" s="1" t="s">
        <v>1147</v>
      </c>
      <c r="D739" s="1" t="str">
        <f t="shared" si="28"/>
        <v xml:space="preserve">0595-61-1100  </v>
      </c>
      <c r="E739" s="1" t="s">
        <v>14</v>
      </c>
    </row>
    <row r="740" spans="1:5" x14ac:dyDescent="0.55000000000000004">
      <c r="A740" s="1" t="s">
        <v>1232</v>
      </c>
      <c r="B740" s="1" t="s">
        <v>121</v>
      </c>
      <c r="C740" s="1" t="s">
        <v>1147</v>
      </c>
      <c r="D740" s="1" t="str">
        <f t="shared" si="28"/>
        <v xml:space="preserve">0595-61-1100  </v>
      </c>
      <c r="E740" s="1" t="s">
        <v>6</v>
      </c>
    </row>
    <row r="741" spans="1:5" x14ac:dyDescent="0.55000000000000004">
      <c r="A741" s="1" t="s">
        <v>1233</v>
      </c>
      <c r="B741" s="1" t="s">
        <v>121</v>
      </c>
      <c r="C741" s="1" t="s">
        <v>1147</v>
      </c>
      <c r="D741" s="1" t="str">
        <f t="shared" si="28"/>
        <v xml:space="preserve">0595-61-1100  </v>
      </c>
      <c r="E741" s="1" t="s">
        <v>135</v>
      </c>
    </row>
    <row r="742" spans="1:5" x14ac:dyDescent="0.55000000000000004">
      <c r="A742" s="1" t="s">
        <v>1325</v>
      </c>
      <c r="B742" s="1" t="s">
        <v>121</v>
      </c>
      <c r="C742" s="1" t="s">
        <v>1147</v>
      </c>
      <c r="D742" s="1" t="str">
        <f t="shared" si="28"/>
        <v xml:space="preserve">0595-61-1100  </v>
      </c>
      <c r="E742" s="1" t="s">
        <v>81</v>
      </c>
    </row>
    <row r="743" spans="1:5" x14ac:dyDescent="0.55000000000000004">
      <c r="A743" s="1" t="s">
        <v>1404</v>
      </c>
      <c r="B743" s="1" t="s">
        <v>121</v>
      </c>
      <c r="C743" s="1" t="s">
        <v>1147</v>
      </c>
      <c r="D743" s="1" t="str">
        <f t="shared" si="28"/>
        <v xml:space="preserve">0595-61-1100  </v>
      </c>
      <c r="E743" s="1" t="s">
        <v>111</v>
      </c>
    </row>
    <row r="744" spans="1:5" x14ac:dyDescent="0.55000000000000004">
      <c r="A744" s="1" t="s">
        <v>1588</v>
      </c>
      <c r="B744" s="1" t="s">
        <v>121</v>
      </c>
      <c r="C744" s="1" t="s">
        <v>1147</v>
      </c>
      <c r="D744" s="1" t="str">
        <f t="shared" si="28"/>
        <v xml:space="preserve">0595-61-1100  </v>
      </c>
      <c r="E744" s="1" t="s">
        <v>23</v>
      </c>
    </row>
    <row r="745" spans="1:5" x14ac:dyDescent="0.55000000000000004">
      <c r="A745" s="1" t="s">
        <v>2005</v>
      </c>
      <c r="B745" s="1" t="s">
        <v>121</v>
      </c>
      <c r="C745" s="1" t="s">
        <v>1147</v>
      </c>
      <c r="D745" s="1" t="str">
        <f t="shared" si="28"/>
        <v xml:space="preserve">0595-61-1100  </v>
      </c>
      <c r="E745" s="1" t="s">
        <v>930</v>
      </c>
    </row>
    <row r="746" spans="1:5" x14ac:dyDescent="0.55000000000000004">
      <c r="A746" s="1" t="s">
        <v>3050</v>
      </c>
      <c r="B746" s="1" t="s">
        <v>121</v>
      </c>
      <c r="C746" s="1" t="s">
        <v>1147</v>
      </c>
      <c r="D746" s="1" t="str">
        <f t="shared" si="28"/>
        <v xml:space="preserve">0595-61-1100  </v>
      </c>
      <c r="E746" s="1" t="s">
        <v>6</v>
      </c>
    </row>
    <row r="747" spans="1:5" x14ac:dyDescent="0.55000000000000004">
      <c r="A747" s="1" t="s">
        <v>2634</v>
      </c>
      <c r="B747" s="1" t="s">
        <v>121</v>
      </c>
      <c r="C747" s="1" t="s">
        <v>1147</v>
      </c>
      <c r="D747" s="1" t="str">
        <f t="shared" si="28"/>
        <v xml:space="preserve">0595-61-1100  </v>
      </c>
      <c r="E747" s="1" t="s">
        <v>106</v>
      </c>
    </row>
    <row r="748" spans="1:5" x14ac:dyDescent="0.55000000000000004">
      <c r="A748" s="1" t="s">
        <v>1614</v>
      </c>
      <c r="B748" s="1" t="s">
        <v>1615</v>
      </c>
      <c r="C748" s="1" t="str">
        <f>"伊賀市服部町2丁目90-2"</f>
        <v>伊賀市服部町2丁目90-2</v>
      </c>
      <c r="D748" s="1" t="str">
        <f>"0595-44-6516  "</f>
        <v xml:space="preserve">0595-44-6516  </v>
      </c>
      <c r="E748" s="1" t="s">
        <v>216</v>
      </c>
    </row>
    <row r="749" spans="1:5" x14ac:dyDescent="0.55000000000000004">
      <c r="A749" s="1" t="s">
        <v>2804</v>
      </c>
      <c r="B749" s="1" t="s">
        <v>2805</v>
      </c>
      <c r="C749" s="1" t="s">
        <v>2806</v>
      </c>
      <c r="D749" s="1" t="str">
        <f>"0595-26-0333  "</f>
        <v xml:space="preserve">0595-26-0333  </v>
      </c>
      <c r="E749" s="1" t="s">
        <v>51</v>
      </c>
    </row>
    <row r="750" spans="1:5" x14ac:dyDescent="0.55000000000000004">
      <c r="A750" s="1" t="s">
        <v>2824</v>
      </c>
      <c r="B750" s="1" t="s">
        <v>2825</v>
      </c>
      <c r="C750" s="1" t="s">
        <v>2826</v>
      </c>
      <c r="D750" s="1" t="str">
        <f>"0595-22-1220  "</f>
        <v xml:space="preserve">0595-22-1220  </v>
      </c>
      <c r="E750" s="1" t="s">
        <v>131</v>
      </c>
    </row>
    <row r="751" spans="1:5" x14ac:dyDescent="0.55000000000000004">
      <c r="A751" s="1" t="s">
        <v>2769</v>
      </c>
      <c r="B751" s="1" t="s">
        <v>2770</v>
      </c>
      <c r="C751" s="1" t="s">
        <v>2771</v>
      </c>
      <c r="D751" s="1" t="str">
        <f>"0595-26-2960  "</f>
        <v xml:space="preserve">0595-26-2960  </v>
      </c>
      <c r="E751" s="1" t="s">
        <v>14</v>
      </c>
    </row>
    <row r="752" spans="1:5" x14ac:dyDescent="0.55000000000000004">
      <c r="A752" s="1" t="s">
        <v>278</v>
      </c>
      <c r="B752" s="1" t="s">
        <v>279</v>
      </c>
      <c r="C752" s="1" t="s">
        <v>280</v>
      </c>
      <c r="D752" s="1" t="str">
        <f>"0595-26-3737  "</f>
        <v xml:space="preserve">0595-26-3737  </v>
      </c>
      <c r="E752" s="1" t="s">
        <v>34</v>
      </c>
    </row>
    <row r="753" spans="1:5" x14ac:dyDescent="0.55000000000000004">
      <c r="A753" s="1" t="s">
        <v>2154</v>
      </c>
      <c r="B753" s="1" t="s">
        <v>2432</v>
      </c>
      <c r="C753" s="1" t="str">
        <f>"伊賀市服部町1172-5"</f>
        <v>伊賀市服部町1172-5</v>
      </c>
      <c r="D753" s="1" t="str">
        <f>"0595-23-1010  "</f>
        <v xml:space="preserve">0595-23-1010  </v>
      </c>
      <c r="E753" s="1" t="s">
        <v>2433</v>
      </c>
    </row>
    <row r="754" spans="1:5" x14ac:dyDescent="0.55000000000000004">
      <c r="A754" s="1" t="s">
        <v>2604</v>
      </c>
      <c r="B754" s="1" t="s">
        <v>2605</v>
      </c>
      <c r="C754" s="1" t="s">
        <v>2606</v>
      </c>
      <c r="D754" s="1" t="str">
        <f>"0595-42-8273  "</f>
        <v xml:space="preserve">0595-42-8273  </v>
      </c>
      <c r="E754" s="1" t="s">
        <v>2607</v>
      </c>
    </row>
    <row r="755" spans="1:5" x14ac:dyDescent="0.55000000000000004">
      <c r="A755" s="1" t="s">
        <v>3011</v>
      </c>
      <c r="B755" s="1" t="s">
        <v>3012</v>
      </c>
      <c r="C755" s="1" t="s">
        <v>3092</v>
      </c>
      <c r="D755" s="1" t="str">
        <f>"0595-48-0004  "</f>
        <v xml:space="preserve">0595-48-0004  </v>
      </c>
      <c r="E755" s="1" t="s">
        <v>6</v>
      </c>
    </row>
    <row r="756" spans="1:5" x14ac:dyDescent="0.55000000000000004">
      <c r="A756" s="1" t="s">
        <v>2299</v>
      </c>
      <c r="B756" s="1" t="s">
        <v>885</v>
      </c>
      <c r="C756" s="1" t="s">
        <v>1343</v>
      </c>
      <c r="D756" s="1" t="str">
        <f t="shared" ref="D756:D769" si="29">"0595-24-1111  "</f>
        <v xml:space="preserve">0595-24-1111  </v>
      </c>
      <c r="E756" s="1" t="s">
        <v>23</v>
      </c>
    </row>
    <row r="757" spans="1:5" x14ac:dyDescent="0.55000000000000004">
      <c r="A757" s="1" t="s">
        <v>2348</v>
      </c>
      <c r="B757" s="1" t="s">
        <v>885</v>
      </c>
      <c r="C757" s="1" t="s">
        <v>1343</v>
      </c>
      <c r="D757" s="1" t="str">
        <f t="shared" si="29"/>
        <v xml:space="preserve">0595-24-1111  </v>
      </c>
      <c r="E757" s="1" t="s">
        <v>81</v>
      </c>
    </row>
    <row r="758" spans="1:5" x14ac:dyDescent="0.55000000000000004">
      <c r="A758" s="1" t="s">
        <v>2392</v>
      </c>
      <c r="B758" s="1" t="s">
        <v>885</v>
      </c>
      <c r="C758" s="1" t="s">
        <v>1343</v>
      </c>
      <c r="D758" s="1" t="str">
        <f t="shared" si="29"/>
        <v xml:space="preserve">0595-24-1111  </v>
      </c>
      <c r="E758" s="1" t="s">
        <v>35</v>
      </c>
    </row>
    <row r="759" spans="1:5" x14ac:dyDescent="0.55000000000000004">
      <c r="A759" s="1" t="s">
        <v>2397</v>
      </c>
      <c r="B759" s="1" t="s">
        <v>885</v>
      </c>
      <c r="C759" s="1" t="s">
        <v>1343</v>
      </c>
      <c r="D759" s="1" t="str">
        <f t="shared" si="29"/>
        <v xml:space="preserve">0595-24-1111  </v>
      </c>
      <c r="E759" s="1" t="s">
        <v>14</v>
      </c>
    </row>
    <row r="760" spans="1:5" x14ac:dyDescent="0.55000000000000004">
      <c r="A760" s="1" t="s">
        <v>2416</v>
      </c>
      <c r="B760" s="1" t="s">
        <v>885</v>
      </c>
      <c r="C760" s="1" t="s">
        <v>1343</v>
      </c>
      <c r="D760" s="1" t="str">
        <f t="shared" si="29"/>
        <v xml:space="preserve">0595-24-1111  </v>
      </c>
      <c r="E760" s="1" t="s">
        <v>81</v>
      </c>
    </row>
    <row r="761" spans="1:5" x14ac:dyDescent="0.55000000000000004">
      <c r="A761" s="1" t="s">
        <v>2096</v>
      </c>
      <c r="B761" s="1" t="s">
        <v>885</v>
      </c>
      <c r="C761" s="1" t="s">
        <v>1343</v>
      </c>
      <c r="D761" s="1" t="str">
        <f t="shared" si="29"/>
        <v xml:space="preserve">0595-24-1111  </v>
      </c>
      <c r="E761" s="1" t="s">
        <v>14</v>
      </c>
    </row>
    <row r="762" spans="1:5" x14ac:dyDescent="0.55000000000000004">
      <c r="A762" s="1" t="s">
        <v>2472</v>
      </c>
      <c r="B762" s="1" t="s">
        <v>885</v>
      </c>
      <c r="C762" s="1" t="s">
        <v>1343</v>
      </c>
      <c r="D762" s="1" t="str">
        <f t="shared" si="29"/>
        <v xml:space="preserve">0595-24-1111  </v>
      </c>
      <c r="E762" s="1" t="s">
        <v>14</v>
      </c>
    </row>
    <row r="763" spans="1:5" x14ac:dyDescent="0.55000000000000004">
      <c r="A763" s="1" t="s">
        <v>45</v>
      </c>
      <c r="B763" s="1" t="s">
        <v>885</v>
      </c>
      <c r="C763" s="1" t="s">
        <v>1343</v>
      </c>
      <c r="D763" s="1" t="str">
        <f t="shared" si="29"/>
        <v xml:space="preserve">0595-24-1111  </v>
      </c>
      <c r="E763" s="1" t="s">
        <v>23</v>
      </c>
    </row>
    <row r="764" spans="1:5" x14ac:dyDescent="0.55000000000000004">
      <c r="A764" s="1" t="s">
        <v>2107</v>
      </c>
      <c r="B764" s="1" t="s">
        <v>885</v>
      </c>
      <c r="C764" s="1" t="s">
        <v>1343</v>
      </c>
      <c r="D764" s="1" t="str">
        <f t="shared" si="29"/>
        <v xml:space="preserve">0595-24-1111  </v>
      </c>
      <c r="E764" s="1" t="s">
        <v>23</v>
      </c>
    </row>
    <row r="765" spans="1:5" x14ac:dyDescent="0.55000000000000004">
      <c r="A765" s="1" t="s">
        <v>1342</v>
      </c>
      <c r="B765" s="1" t="s">
        <v>885</v>
      </c>
      <c r="C765" s="1" t="s">
        <v>1343</v>
      </c>
      <c r="D765" s="1" t="str">
        <f t="shared" si="29"/>
        <v xml:space="preserve">0595-24-1111  </v>
      </c>
      <c r="E765" s="1" t="s">
        <v>1344</v>
      </c>
    </row>
    <row r="766" spans="1:5" x14ac:dyDescent="0.55000000000000004">
      <c r="A766" s="1" t="s">
        <v>1643</v>
      </c>
      <c r="B766" s="1" t="s">
        <v>885</v>
      </c>
      <c r="C766" s="1" t="s">
        <v>1343</v>
      </c>
      <c r="D766" s="1" t="str">
        <f t="shared" si="29"/>
        <v xml:space="preserve">0595-24-1111  </v>
      </c>
      <c r="E766" s="1" t="s">
        <v>23</v>
      </c>
    </row>
    <row r="767" spans="1:5" x14ac:dyDescent="0.55000000000000004">
      <c r="A767" s="1" t="s">
        <v>1846</v>
      </c>
      <c r="B767" s="1" t="s">
        <v>885</v>
      </c>
      <c r="C767" s="1" t="s">
        <v>1343</v>
      </c>
      <c r="D767" s="1" t="str">
        <f t="shared" si="29"/>
        <v xml:space="preserve">0595-24-1111  </v>
      </c>
      <c r="E767" s="1" t="s">
        <v>14</v>
      </c>
    </row>
    <row r="768" spans="1:5" x14ac:dyDescent="0.55000000000000004">
      <c r="A768" s="1" t="s">
        <v>1861</v>
      </c>
      <c r="B768" s="1" t="s">
        <v>885</v>
      </c>
      <c r="C768" s="1" t="s">
        <v>1343</v>
      </c>
      <c r="D768" s="1" t="str">
        <f t="shared" si="29"/>
        <v xml:space="preserve">0595-24-1111  </v>
      </c>
      <c r="E768" s="1" t="s">
        <v>126</v>
      </c>
    </row>
    <row r="769" spans="1:5" x14ac:dyDescent="0.55000000000000004">
      <c r="A769" s="1" t="s">
        <v>1943</v>
      </c>
      <c r="B769" s="1" t="s">
        <v>885</v>
      </c>
      <c r="C769" s="1" t="s">
        <v>1343</v>
      </c>
      <c r="D769" s="1" t="str">
        <f t="shared" si="29"/>
        <v xml:space="preserve">0595-24-1111  </v>
      </c>
      <c r="E769" s="1" t="s">
        <v>131</v>
      </c>
    </row>
    <row r="770" spans="1:5" x14ac:dyDescent="0.55000000000000004">
      <c r="A770" s="1" t="s">
        <v>2958</v>
      </c>
      <c r="B770" s="1" t="s">
        <v>2959</v>
      </c>
      <c r="C770" s="1" t="s">
        <v>2960</v>
      </c>
      <c r="D770" s="1" t="str">
        <f>"0595-22-2121  "</f>
        <v xml:space="preserve">0595-22-2121  </v>
      </c>
      <c r="E770" s="1" t="s">
        <v>23</v>
      </c>
    </row>
    <row r="771" spans="1:5" x14ac:dyDescent="0.55000000000000004">
      <c r="A771" s="1" t="s">
        <v>1447</v>
      </c>
      <c r="B771" s="1" t="s">
        <v>1448</v>
      </c>
      <c r="C771" s="1" t="s">
        <v>1449</v>
      </c>
      <c r="D771" s="1" t="str">
        <f>"0595-41-1192  "</f>
        <v xml:space="preserve">0595-41-1192  </v>
      </c>
      <c r="E771" s="1" t="s">
        <v>1450</v>
      </c>
    </row>
    <row r="772" spans="1:5" x14ac:dyDescent="0.55000000000000004">
      <c r="A772" s="1" t="s">
        <v>697</v>
      </c>
      <c r="B772" s="1" t="s">
        <v>698</v>
      </c>
      <c r="C772" s="1" t="s">
        <v>699</v>
      </c>
      <c r="D772" s="1" t="str">
        <f>"0595-23-0718  "</f>
        <v xml:space="preserve">0595-23-0718  </v>
      </c>
      <c r="E772" s="1" t="s">
        <v>34</v>
      </c>
    </row>
    <row r="773" spans="1:5" x14ac:dyDescent="0.55000000000000004">
      <c r="A773" s="1" t="s">
        <v>2681</v>
      </c>
      <c r="B773" s="1" t="s">
        <v>104</v>
      </c>
      <c r="C773" s="1" t="str">
        <f>"伊賀市比土3158-1"</f>
        <v>伊賀市比土3158-1</v>
      </c>
      <c r="D773" s="1" t="str">
        <f>"0595-36-2550  "</f>
        <v xml:space="preserve">0595-36-2550  </v>
      </c>
      <c r="E773" s="1" t="s">
        <v>14</v>
      </c>
    </row>
    <row r="774" spans="1:5" x14ac:dyDescent="0.55000000000000004">
      <c r="A774" s="1" t="s">
        <v>175</v>
      </c>
      <c r="B774" s="1" t="s">
        <v>176</v>
      </c>
      <c r="C774" s="1" t="str">
        <f>"伊賀市平野中川原557-3"</f>
        <v>伊賀市平野中川原557-3</v>
      </c>
      <c r="D774" s="1" t="str">
        <f>"0595-22-2300  "</f>
        <v xml:space="preserve">0595-22-2300  </v>
      </c>
      <c r="E774" s="1" t="s">
        <v>177</v>
      </c>
    </row>
    <row r="775" spans="1:5" x14ac:dyDescent="0.55000000000000004">
      <c r="A775" s="1" t="s">
        <v>1782</v>
      </c>
      <c r="B775" s="1" t="s">
        <v>1783</v>
      </c>
      <c r="C775" s="1" t="s">
        <v>1784</v>
      </c>
      <c r="D775" s="1" t="str">
        <f>"0595-23-5553  "</f>
        <v xml:space="preserve">0595-23-5553  </v>
      </c>
      <c r="E775" s="1" t="s">
        <v>440</v>
      </c>
    </row>
    <row r="776" spans="1:5" x14ac:dyDescent="0.55000000000000004">
      <c r="A776" s="1" t="s">
        <v>1888</v>
      </c>
      <c r="B776" s="1" t="s">
        <v>1889</v>
      </c>
      <c r="C776" s="1" t="str">
        <f>"伊賀市上野忍町2516-7"</f>
        <v>伊賀市上野忍町2516-7</v>
      </c>
      <c r="D776" s="1" t="str">
        <f>"0595-21-2425  "</f>
        <v xml:space="preserve">0595-21-2425  </v>
      </c>
      <c r="E776" s="1" t="s">
        <v>1890</v>
      </c>
    </row>
    <row r="777" spans="1:5" x14ac:dyDescent="0.55000000000000004">
      <c r="A777" s="1" t="s">
        <v>1647</v>
      </c>
      <c r="B777" s="1" t="s">
        <v>1648</v>
      </c>
      <c r="C777" s="1" t="str">
        <f>"伊賀市ゆめが丘3-1-2"</f>
        <v>伊賀市ゆめが丘3-1-2</v>
      </c>
      <c r="D777" s="1" t="str">
        <f>"0595-26-0666  "</f>
        <v xml:space="preserve">0595-26-0666  </v>
      </c>
      <c r="E777" s="1" t="s">
        <v>43</v>
      </c>
    </row>
    <row r="778" spans="1:5" x14ac:dyDescent="0.55000000000000004">
      <c r="A778" s="1" t="s">
        <v>1826</v>
      </c>
      <c r="B778" s="1" t="s">
        <v>1827</v>
      </c>
      <c r="C778" s="1" t="s">
        <v>1828</v>
      </c>
      <c r="D778" s="1" t="str">
        <f>"0595-21-3000  "</f>
        <v xml:space="preserve">0595-21-3000  </v>
      </c>
      <c r="E778" s="1" t="s">
        <v>14</v>
      </c>
    </row>
    <row r="779" spans="1:5" x14ac:dyDescent="0.55000000000000004">
      <c r="A779" s="1" t="s">
        <v>2289</v>
      </c>
      <c r="B779" s="1" t="s">
        <v>100</v>
      </c>
      <c r="C779" s="1" t="s">
        <v>101</v>
      </c>
      <c r="D779" s="1" t="str">
        <f>"0595-21-5010  "</f>
        <v xml:space="preserve">0595-21-5010  </v>
      </c>
      <c r="E779" s="1" t="s">
        <v>65</v>
      </c>
    </row>
    <row r="780" spans="1:5" x14ac:dyDescent="0.55000000000000004">
      <c r="A780" s="1" t="s">
        <v>2149</v>
      </c>
      <c r="B780" s="1" t="s">
        <v>100</v>
      </c>
      <c r="C780" s="1" t="s">
        <v>101</v>
      </c>
      <c r="D780" s="1" t="str">
        <f>"0595-21-5010  "</f>
        <v xml:space="preserve">0595-21-5010  </v>
      </c>
      <c r="E780" s="1" t="s">
        <v>65</v>
      </c>
    </row>
    <row r="781" spans="1:5" x14ac:dyDescent="0.55000000000000004">
      <c r="A781" s="1" t="s">
        <v>3051</v>
      </c>
      <c r="B781" s="1" t="s">
        <v>3052</v>
      </c>
      <c r="C781" s="1" t="str">
        <f>"伊賀市土橋192-1"</f>
        <v>伊賀市土橋192-1</v>
      </c>
      <c r="D781" s="1" t="str">
        <f>"0595-22-2121  "</f>
        <v xml:space="preserve">0595-22-2121  </v>
      </c>
      <c r="E781" s="1" t="s">
        <v>6</v>
      </c>
    </row>
    <row r="782" spans="1:5" x14ac:dyDescent="0.55000000000000004">
      <c r="A782" s="1" t="s">
        <v>588</v>
      </c>
      <c r="B782" s="1" t="s">
        <v>589</v>
      </c>
      <c r="C782" s="1" t="s">
        <v>590</v>
      </c>
      <c r="D782" s="1" t="str">
        <f>"0595-21-3100  "</f>
        <v xml:space="preserve">0595-21-3100  </v>
      </c>
      <c r="E782" s="1" t="s">
        <v>129</v>
      </c>
    </row>
    <row r="783" spans="1:5" x14ac:dyDescent="0.55000000000000004">
      <c r="A783" s="1" t="s">
        <v>2340</v>
      </c>
      <c r="B783" s="1" t="s">
        <v>1226</v>
      </c>
      <c r="C783" s="1" t="s">
        <v>1227</v>
      </c>
      <c r="D783" s="1" t="str">
        <f t="shared" ref="D783:D803" si="30">"0595-21-3135  "</f>
        <v xml:space="preserve">0595-21-3135  </v>
      </c>
      <c r="E783" s="1" t="s">
        <v>106</v>
      </c>
    </row>
    <row r="784" spans="1:5" x14ac:dyDescent="0.55000000000000004">
      <c r="A784" s="1" t="s">
        <v>2361</v>
      </c>
      <c r="B784" s="1" t="s">
        <v>1226</v>
      </c>
      <c r="C784" s="1" t="s">
        <v>1227</v>
      </c>
      <c r="D784" s="1" t="str">
        <f t="shared" si="30"/>
        <v xml:space="preserve">0595-21-3135  </v>
      </c>
      <c r="E784" s="1" t="s">
        <v>6</v>
      </c>
    </row>
    <row r="785" spans="1:5" x14ac:dyDescent="0.55000000000000004">
      <c r="A785" s="1" t="s">
        <v>2095</v>
      </c>
      <c r="B785" s="1" t="s">
        <v>1226</v>
      </c>
      <c r="C785" s="1" t="s">
        <v>1227</v>
      </c>
      <c r="D785" s="1" t="str">
        <f t="shared" si="30"/>
        <v xml:space="preserve">0595-21-3135  </v>
      </c>
      <c r="E785" s="1" t="s">
        <v>81</v>
      </c>
    </row>
    <row r="786" spans="1:5" x14ac:dyDescent="0.55000000000000004">
      <c r="A786" s="1" t="s">
        <v>2479</v>
      </c>
      <c r="B786" s="1" t="s">
        <v>1226</v>
      </c>
      <c r="C786" s="1" t="s">
        <v>1227</v>
      </c>
      <c r="D786" s="1" t="str">
        <f t="shared" si="30"/>
        <v xml:space="preserve">0595-21-3135  </v>
      </c>
      <c r="E786" s="1" t="s">
        <v>34</v>
      </c>
    </row>
    <row r="787" spans="1:5" x14ac:dyDescent="0.55000000000000004">
      <c r="A787" s="1" t="s">
        <v>2119</v>
      </c>
      <c r="B787" s="1" t="s">
        <v>1226</v>
      </c>
      <c r="C787" s="1" t="s">
        <v>1227</v>
      </c>
      <c r="D787" s="1" t="str">
        <f t="shared" si="30"/>
        <v xml:space="preserve">0595-21-3135  </v>
      </c>
      <c r="E787" s="1" t="s">
        <v>14</v>
      </c>
    </row>
    <row r="788" spans="1:5" x14ac:dyDescent="0.55000000000000004">
      <c r="A788" s="1" t="s">
        <v>2501</v>
      </c>
      <c r="B788" s="1" t="s">
        <v>1226</v>
      </c>
      <c r="C788" s="1" t="s">
        <v>1227</v>
      </c>
      <c r="D788" s="1" t="str">
        <f t="shared" si="30"/>
        <v xml:space="preserve">0595-21-3135  </v>
      </c>
      <c r="E788" s="1" t="s">
        <v>14</v>
      </c>
    </row>
    <row r="789" spans="1:5" x14ac:dyDescent="0.55000000000000004">
      <c r="A789" s="1" t="s">
        <v>2547</v>
      </c>
      <c r="B789" s="1" t="s">
        <v>1226</v>
      </c>
      <c r="C789" s="1" t="s">
        <v>1227</v>
      </c>
      <c r="D789" s="1" t="str">
        <f t="shared" si="30"/>
        <v xml:space="preserve">0595-21-3135  </v>
      </c>
      <c r="E789" s="1" t="s">
        <v>34</v>
      </c>
    </row>
    <row r="790" spans="1:5" x14ac:dyDescent="0.55000000000000004">
      <c r="A790" s="1" t="s">
        <v>3034</v>
      </c>
      <c r="B790" s="1" t="s">
        <v>1226</v>
      </c>
      <c r="C790" s="1" t="s">
        <v>1227</v>
      </c>
      <c r="D790" s="1" t="str">
        <f t="shared" si="30"/>
        <v xml:space="preserve">0595-21-3135  </v>
      </c>
      <c r="E790" s="1" t="s">
        <v>81</v>
      </c>
    </row>
    <row r="791" spans="1:5" x14ac:dyDescent="0.55000000000000004">
      <c r="A791" s="1" t="s">
        <v>1225</v>
      </c>
      <c r="B791" s="1" t="s">
        <v>1226</v>
      </c>
      <c r="C791" s="1" t="s">
        <v>1227</v>
      </c>
      <c r="D791" s="1" t="str">
        <f t="shared" si="30"/>
        <v xml:space="preserve">0595-21-3135  </v>
      </c>
      <c r="E791" s="1" t="s">
        <v>23</v>
      </c>
    </row>
    <row r="792" spans="1:5" x14ac:dyDescent="0.55000000000000004">
      <c r="A792" s="1" t="s">
        <v>1239</v>
      </c>
      <c r="B792" s="1" t="s">
        <v>1226</v>
      </c>
      <c r="C792" s="1" t="s">
        <v>1227</v>
      </c>
      <c r="D792" s="1" t="str">
        <f t="shared" si="30"/>
        <v xml:space="preserve">0595-21-3135  </v>
      </c>
      <c r="E792" s="1" t="s">
        <v>131</v>
      </c>
    </row>
    <row r="793" spans="1:5" x14ac:dyDescent="0.55000000000000004">
      <c r="A793" s="1" t="s">
        <v>1456</v>
      </c>
      <c r="B793" s="1" t="s">
        <v>1226</v>
      </c>
      <c r="C793" s="1" t="s">
        <v>1227</v>
      </c>
      <c r="D793" s="1" t="str">
        <f t="shared" si="30"/>
        <v xml:space="preserve">0595-21-3135  </v>
      </c>
      <c r="E793" s="1" t="s">
        <v>216</v>
      </c>
    </row>
    <row r="794" spans="1:5" x14ac:dyDescent="0.55000000000000004">
      <c r="A794" s="1" t="s">
        <v>1457</v>
      </c>
      <c r="B794" s="1" t="s">
        <v>1226</v>
      </c>
      <c r="C794" s="1" t="s">
        <v>1227</v>
      </c>
      <c r="D794" s="1" t="str">
        <f t="shared" si="30"/>
        <v xml:space="preserve">0595-21-3135  </v>
      </c>
      <c r="E794" s="1" t="s">
        <v>715</v>
      </c>
    </row>
    <row r="795" spans="1:5" x14ac:dyDescent="0.55000000000000004">
      <c r="A795" s="1" t="s">
        <v>1458</v>
      </c>
      <c r="B795" s="1" t="s">
        <v>1226</v>
      </c>
      <c r="C795" s="1" t="s">
        <v>1227</v>
      </c>
      <c r="D795" s="1" t="str">
        <f t="shared" si="30"/>
        <v xml:space="preserve">0595-21-3135  </v>
      </c>
      <c r="E795" s="1" t="s">
        <v>725</v>
      </c>
    </row>
    <row r="796" spans="1:5" x14ac:dyDescent="0.55000000000000004">
      <c r="A796" s="1" t="s">
        <v>1460</v>
      </c>
      <c r="B796" s="1" t="s">
        <v>1226</v>
      </c>
      <c r="C796" s="1" t="s">
        <v>1227</v>
      </c>
      <c r="D796" s="1" t="str">
        <f t="shared" si="30"/>
        <v xml:space="preserve">0595-21-3135  </v>
      </c>
      <c r="E796" s="1" t="s">
        <v>725</v>
      </c>
    </row>
    <row r="797" spans="1:5" x14ac:dyDescent="0.55000000000000004">
      <c r="A797" s="1" t="s">
        <v>1461</v>
      </c>
      <c r="B797" s="1" t="s">
        <v>1226</v>
      </c>
      <c r="C797" s="1" t="s">
        <v>1227</v>
      </c>
      <c r="D797" s="1" t="str">
        <f t="shared" si="30"/>
        <v xml:space="preserve">0595-21-3135  </v>
      </c>
      <c r="E797" s="1" t="s">
        <v>135</v>
      </c>
    </row>
    <row r="798" spans="1:5" x14ac:dyDescent="0.55000000000000004">
      <c r="A798" s="1" t="s">
        <v>1462</v>
      </c>
      <c r="B798" s="1" t="s">
        <v>1226</v>
      </c>
      <c r="C798" s="1" t="s">
        <v>1227</v>
      </c>
      <c r="D798" s="1" t="str">
        <f t="shared" si="30"/>
        <v xml:space="preserve">0595-21-3135  </v>
      </c>
      <c r="E798" s="1" t="s">
        <v>81</v>
      </c>
    </row>
    <row r="799" spans="1:5" x14ac:dyDescent="0.55000000000000004">
      <c r="A799" s="1" t="s">
        <v>1463</v>
      </c>
      <c r="B799" s="1" t="s">
        <v>1226</v>
      </c>
      <c r="C799" s="1" t="s">
        <v>1227</v>
      </c>
      <c r="D799" s="1" t="str">
        <f t="shared" si="30"/>
        <v xml:space="preserve">0595-21-3135  </v>
      </c>
      <c r="E799" s="1" t="s">
        <v>23</v>
      </c>
    </row>
    <row r="800" spans="1:5" x14ac:dyDescent="0.55000000000000004">
      <c r="A800" s="1" t="s">
        <v>1584</v>
      </c>
      <c r="B800" s="1" t="s">
        <v>1226</v>
      </c>
      <c r="C800" s="1" t="s">
        <v>1227</v>
      </c>
      <c r="D800" s="1" t="str">
        <f t="shared" si="30"/>
        <v xml:space="preserve">0595-21-3135  </v>
      </c>
      <c r="E800" s="1" t="s">
        <v>6</v>
      </c>
    </row>
    <row r="801" spans="1:5" x14ac:dyDescent="0.55000000000000004">
      <c r="A801" s="1" t="s">
        <v>1875</v>
      </c>
      <c r="B801" s="1" t="s">
        <v>1226</v>
      </c>
      <c r="C801" s="1" t="s">
        <v>1227</v>
      </c>
      <c r="D801" s="1" t="str">
        <f t="shared" si="30"/>
        <v xml:space="preserve">0595-21-3135  </v>
      </c>
      <c r="E801" s="1" t="s">
        <v>81</v>
      </c>
    </row>
    <row r="802" spans="1:5" x14ac:dyDescent="0.55000000000000004">
      <c r="A802" s="1" t="s">
        <v>1876</v>
      </c>
      <c r="B802" s="1" t="s">
        <v>1226</v>
      </c>
      <c r="C802" s="1" t="s">
        <v>1227</v>
      </c>
      <c r="D802" s="1" t="str">
        <f t="shared" si="30"/>
        <v xml:space="preserve">0595-21-3135  </v>
      </c>
      <c r="E802" s="1" t="s">
        <v>111</v>
      </c>
    </row>
    <row r="803" spans="1:5" x14ac:dyDescent="0.55000000000000004">
      <c r="A803" s="1" t="s">
        <v>2696</v>
      </c>
      <c r="B803" s="1" t="s">
        <v>1226</v>
      </c>
      <c r="C803" s="1" t="s">
        <v>1227</v>
      </c>
      <c r="D803" s="1" t="str">
        <f t="shared" si="30"/>
        <v xml:space="preserve">0595-21-3135  </v>
      </c>
      <c r="E803" s="1" t="s">
        <v>81</v>
      </c>
    </row>
    <row r="804" spans="1:5" x14ac:dyDescent="0.55000000000000004">
      <c r="A804" s="1" t="s">
        <v>2744</v>
      </c>
      <c r="B804" s="1" t="s">
        <v>2745</v>
      </c>
      <c r="C804" s="1" t="str">
        <f>"伊賀市荒木534-2"</f>
        <v>伊賀市荒木534-2</v>
      </c>
      <c r="D804" s="1" t="str">
        <f>"0595-26-3750  "</f>
        <v xml:space="preserve">0595-26-3750  </v>
      </c>
      <c r="E804" s="1" t="s">
        <v>201</v>
      </c>
    </row>
    <row r="805" spans="1:5" x14ac:dyDescent="0.55000000000000004">
      <c r="A805" s="1" t="s">
        <v>2023</v>
      </c>
      <c r="B805" s="1" t="s">
        <v>2024</v>
      </c>
      <c r="C805" s="1" t="s">
        <v>2025</v>
      </c>
      <c r="D805" s="1" t="str">
        <f>"0595-52-0017  "</f>
        <v xml:space="preserve">0595-52-0017  </v>
      </c>
      <c r="E805" s="1" t="s">
        <v>81</v>
      </c>
    </row>
    <row r="806" spans="1:5" x14ac:dyDescent="0.55000000000000004">
      <c r="A806" s="1" t="s">
        <v>2791</v>
      </c>
      <c r="B806" s="1" t="s">
        <v>2792</v>
      </c>
      <c r="C806" s="1" t="s">
        <v>2793</v>
      </c>
      <c r="D806" s="1" t="str">
        <f>"0595-22-2233  "</f>
        <v xml:space="preserve">0595-22-2233  </v>
      </c>
      <c r="E806" s="1" t="s">
        <v>2794</v>
      </c>
    </row>
    <row r="807" spans="1:5" x14ac:dyDescent="0.55000000000000004">
      <c r="A807" s="1" t="s">
        <v>1272</v>
      </c>
      <c r="B807" s="1" t="s">
        <v>1273</v>
      </c>
      <c r="C807" s="1" t="str">
        <f>"津市あのつ台4丁目1-3"</f>
        <v>津市あのつ台4丁目1-3</v>
      </c>
      <c r="D807" s="1" t="str">
        <f>"059-253-7426  "</f>
        <v xml:space="preserve">059-253-7426  </v>
      </c>
      <c r="E807" s="1" t="s">
        <v>1274</v>
      </c>
    </row>
    <row r="808" spans="1:5" x14ac:dyDescent="0.55000000000000004">
      <c r="A808" s="1" t="s">
        <v>2319</v>
      </c>
      <c r="B808" s="1" t="s">
        <v>2320</v>
      </c>
      <c r="C808" s="1" t="s">
        <v>638</v>
      </c>
      <c r="D808" s="1" t="str">
        <f>"059-233-6700  "</f>
        <v xml:space="preserve">059-233-6700  </v>
      </c>
      <c r="E808" s="1" t="s">
        <v>81</v>
      </c>
    </row>
    <row r="809" spans="1:5" x14ac:dyDescent="0.55000000000000004">
      <c r="A809" s="1" t="s">
        <v>2204</v>
      </c>
      <c r="B809" s="1" t="s">
        <v>2205</v>
      </c>
      <c r="C809" s="1" t="str">
        <f>"津市半田平木202-5"</f>
        <v>津市半田平木202-5</v>
      </c>
      <c r="D809" s="1" t="str">
        <f>"059-229-7227  "</f>
        <v xml:space="preserve">059-229-7227  </v>
      </c>
      <c r="E809" s="1" t="s">
        <v>624</v>
      </c>
    </row>
    <row r="810" spans="1:5" x14ac:dyDescent="0.55000000000000004">
      <c r="A810" s="1" t="s">
        <v>2923</v>
      </c>
      <c r="B810" s="1" t="s">
        <v>2924</v>
      </c>
      <c r="C810" s="1" t="str">
        <f>"津市久居新町2115-8"</f>
        <v>津市久居新町2115-8</v>
      </c>
      <c r="D810" s="1" t="str">
        <f>"059-255-1241  "</f>
        <v xml:space="preserve">059-255-1241  </v>
      </c>
      <c r="E810" s="1" t="s">
        <v>7</v>
      </c>
    </row>
    <row r="811" spans="1:5" x14ac:dyDescent="0.55000000000000004">
      <c r="A811" s="1" t="s">
        <v>1712</v>
      </c>
      <c r="B811" s="1" t="s">
        <v>1713</v>
      </c>
      <c r="C811" s="1" t="s">
        <v>1714</v>
      </c>
      <c r="D811" s="1" t="str">
        <f>"059-253-7078  "</f>
        <v xml:space="preserve">059-253-7078  </v>
      </c>
      <c r="E811" s="1" t="s">
        <v>6</v>
      </c>
    </row>
    <row r="812" spans="1:5" x14ac:dyDescent="0.55000000000000004">
      <c r="A812" s="1" t="s">
        <v>2645</v>
      </c>
      <c r="B812" s="1" t="s">
        <v>1713</v>
      </c>
      <c r="C812" s="1" t="s">
        <v>1714</v>
      </c>
      <c r="D812" s="1" t="str">
        <f>"059-253-7078  "</f>
        <v xml:space="preserve">059-253-7078  </v>
      </c>
      <c r="E812" s="1" t="s">
        <v>6</v>
      </c>
    </row>
    <row r="813" spans="1:5" x14ac:dyDescent="0.55000000000000004">
      <c r="A813" s="1" t="s">
        <v>768</v>
      </c>
      <c r="B813" s="1" t="s">
        <v>769</v>
      </c>
      <c r="C813" s="1" t="s">
        <v>770</v>
      </c>
      <c r="D813" s="1" t="str">
        <f>"059-238-2800  "</f>
        <v xml:space="preserve">059-238-2800  </v>
      </c>
      <c r="E813" s="1" t="s">
        <v>34</v>
      </c>
    </row>
    <row r="814" spans="1:5" x14ac:dyDescent="0.55000000000000004">
      <c r="A814" s="1" t="s">
        <v>210</v>
      </c>
      <c r="B814" s="1" t="s">
        <v>211</v>
      </c>
      <c r="C814" s="1" t="s">
        <v>212</v>
      </c>
      <c r="D814" s="1" t="str">
        <f>"059-221-3000  "</f>
        <v xml:space="preserve">059-221-3000  </v>
      </c>
      <c r="E814" s="1" t="s">
        <v>7</v>
      </c>
    </row>
    <row r="815" spans="1:5" x14ac:dyDescent="0.55000000000000004">
      <c r="A815" s="1" t="s">
        <v>2929</v>
      </c>
      <c r="B815" s="1" t="s">
        <v>2930</v>
      </c>
      <c r="C815" s="1" t="s">
        <v>3087</v>
      </c>
      <c r="D815" s="1" t="str">
        <f>"059-273-6581  "</f>
        <v xml:space="preserve">059-273-6581  </v>
      </c>
      <c r="E815" s="1" t="s">
        <v>2931</v>
      </c>
    </row>
    <row r="816" spans="1:5" x14ac:dyDescent="0.55000000000000004">
      <c r="A816" s="1" t="s">
        <v>1731</v>
      </c>
      <c r="B816" s="1" t="s">
        <v>1732</v>
      </c>
      <c r="C816" s="1" t="str">
        <f>"津市久居藤ヶ丘町2598-3"</f>
        <v>津市久居藤ヶ丘町2598-3</v>
      </c>
      <c r="D816" s="1" t="str">
        <f>"059-254-0707  "</f>
        <v xml:space="preserve">059-254-0707  </v>
      </c>
      <c r="E816" s="1" t="s">
        <v>135</v>
      </c>
    </row>
    <row r="817" spans="1:5" x14ac:dyDescent="0.55000000000000004">
      <c r="A817" s="1" t="s">
        <v>1336</v>
      </c>
      <c r="B817" s="1" t="s">
        <v>1337</v>
      </c>
      <c r="C817" s="1" t="str">
        <f>"津市白塚町3702-1"</f>
        <v>津市白塚町3702-1</v>
      </c>
      <c r="D817" s="1" t="str">
        <f>"059-253-6868  "</f>
        <v xml:space="preserve">059-253-6868  </v>
      </c>
      <c r="E817" s="1" t="s">
        <v>1338</v>
      </c>
    </row>
    <row r="818" spans="1:5" x14ac:dyDescent="0.55000000000000004">
      <c r="A818" s="1" t="s">
        <v>1812</v>
      </c>
      <c r="B818" s="1" t="s">
        <v>1813</v>
      </c>
      <c r="C818" s="1" t="str">
        <f>"津市久居明神町1199-1"</f>
        <v>津市久居明神町1199-1</v>
      </c>
      <c r="D818" s="1" t="str">
        <f>"059-253-2730  "</f>
        <v xml:space="preserve">059-253-2730  </v>
      </c>
      <c r="E818" s="1" t="s">
        <v>259</v>
      </c>
    </row>
    <row r="819" spans="1:5" x14ac:dyDescent="0.55000000000000004">
      <c r="A819" s="1" t="s">
        <v>2944</v>
      </c>
      <c r="B819" s="1" t="s">
        <v>97</v>
      </c>
      <c r="C819" s="1" t="str">
        <f>"津市一志町小山1434-2"</f>
        <v>津市一志町小山1434-2</v>
      </c>
      <c r="D819" s="1" t="str">
        <f>"059-295-0005  "</f>
        <v xml:space="preserve">059-295-0005  </v>
      </c>
      <c r="E819" s="1" t="s">
        <v>135</v>
      </c>
    </row>
    <row r="820" spans="1:5" x14ac:dyDescent="0.55000000000000004">
      <c r="A820" s="1" t="s">
        <v>1542</v>
      </c>
      <c r="B820" s="1" t="s">
        <v>1543</v>
      </c>
      <c r="C820" s="1" t="s">
        <v>1544</v>
      </c>
      <c r="D820" s="1" t="str">
        <f>"059-254-0001  "</f>
        <v xml:space="preserve">059-254-0001  </v>
      </c>
      <c r="E820" s="1" t="s">
        <v>6</v>
      </c>
    </row>
    <row r="821" spans="1:5" x14ac:dyDescent="0.55000000000000004">
      <c r="A821" s="1" t="s">
        <v>2436</v>
      </c>
      <c r="B821" s="1" t="s">
        <v>2437</v>
      </c>
      <c r="C821" s="1" t="str">
        <f>"津市久居明神町1200-1"</f>
        <v>津市久居明神町1200-1</v>
      </c>
      <c r="D821" s="1" t="str">
        <f>"059-271-7138  "</f>
        <v xml:space="preserve">059-271-7138  </v>
      </c>
      <c r="E821" s="1" t="s">
        <v>2438</v>
      </c>
    </row>
    <row r="822" spans="1:5" x14ac:dyDescent="0.55000000000000004">
      <c r="A822" s="1" t="s">
        <v>2918</v>
      </c>
      <c r="B822" s="1" t="s">
        <v>2919</v>
      </c>
      <c r="C822" s="1" t="str">
        <f>"津市河辺町3041-6"</f>
        <v>津市河辺町3041-6</v>
      </c>
      <c r="D822" s="1" t="str">
        <f>"059-253-3131  "</f>
        <v xml:space="preserve">059-253-3131  </v>
      </c>
      <c r="E822" s="1" t="s">
        <v>6</v>
      </c>
    </row>
    <row r="823" spans="1:5" x14ac:dyDescent="0.55000000000000004">
      <c r="A823" s="1" t="s">
        <v>531</v>
      </c>
      <c r="B823" s="1" t="s">
        <v>532</v>
      </c>
      <c r="C823" s="1" t="str">
        <f>"津市西丸之内38-11"</f>
        <v>津市西丸之内38-11</v>
      </c>
      <c r="D823" s="1" t="str">
        <f>"059-221-1000  "</f>
        <v xml:space="preserve">059-221-1000  </v>
      </c>
      <c r="E823" s="1" t="s">
        <v>533</v>
      </c>
    </row>
    <row r="824" spans="1:5" x14ac:dyDescent="0.55000000000000004">
      <c r="A824" s="1" t="s">
        <v>2193</v>
      </c>
      <c r="B824" s="1" t="s">
        <v>2194</v>
      </c>
      <c r="C824" s="1" t="str">
        <f>"津市久居野村町872-2"</f>
        <v>津市久居野村町872-2</v>
      </c>
      <c r="D824" s="1" t="str">
        <f>"059-264-7920  "</f>
        <v xml:space="preserve">059-264-7920  </v>
      </c>
      <c r="E824" s="1" t="s">
        <v>7</v>
      </c>
    </row>
    <row r="825" spans="1:5" x14ac:dyDescent="0.55000000000000004">
      <c r="A825" s="1" t="s">
        <v>340</v>
      </c>
      <c r="B825" s="1" t="s">
        <v>341</v>
      </c>
      <c r="C825" s="1" t="str">
        <f>"津市三重町津興433-87"</f>
        <v>津市三重町津興433-87</v>
      </c>
      <c r="D825" s="1" t="str">
        <f>"059-246-7771  "</f>
        <v xml:space="preserve">059-246-7771  </v>
      </c>
      <c r="E825" s="1" t="s">
        <v>6</v>
      </c>
    </row>
    <row r="826" spans="1:5" x14ac:dyDescent="0.55000000000000004">
      <c r="A826" s="1" t="s">
        <v>1601</v>
      </c>
      <c r="B826" s="1" t="s">
        <v>2426</v>
      </c>
      <c r="C826" s="1" t="str">
        <f>"津市一身田町485-1"</f>
        <v>津市一身田町485-1</v>
      </c>
      <c r="D826" s="1" t="str">
        <f>"059-236-6677  "</f>
        <v xml:space="preserve">059-236-6677  </v>
      </c>
      <c r="E826" s="1" t="s">
        <v>528</v>
      </c>
    </row>
    <row r="827" spans="1:5" x14ac:dyDescent="0.55000000000000004">
      <c r="A827" s="1" t="s">
        <v>2341</v>
      </c>
      <c r="B827" s="1" t="s">
        <v>2342</v>
      </c>
      <c r="C827" s="1" t="s">
        <v>2343</v>
      </c>
      <c r="D827" s="1" t="str">
        <f>"059-222-7830  "</f>
        <v xml:space="preserve">059-222-7830  </v>
      </c>
      <c r="E827" s="1" t="s">
        <v>2344</v>
      </c>
    </row>
    <row r="828" spans="1:5" x14ac:dyDescent="0.55000000000000004">
      <c r="A828" s="1" t="s">
        <v>2087</v>
      </c>
      <c r="B828" s="1" t="s">
        <v>2088</v>
      </c>
      <c r="C828" s="1" t="str">
        <f>"津市河芸町西千里273-1"</f>
        <v>津市河芸町西千里273-1</v>
      </c>
      <c r="D828" s="1" t="str">
        <f>"059-244-1212  "</f>
        <v xml:space="preserve">059-244-1212  </v>
      </c>
      <c r="E828" s="1" t="s">
        <v>1970</v>
      </c>
    </row>
    <row r="829" spans="1:5" x14ac:dyDescent="0.55000000000000004">
      <c r="A829" s="1" t="s">
        <v>2109</v>
      </c>
      <c r="B829" s="1" t="s">
        <v>2110</v>
      </c>
      <c r="C829" s="1" t="str">
        <f>"津市河芸町一色55-1"</f>
        <v>津市河芸町一色55-1</v>
      </c>
      <c r="D829" s="1" t="str">
        <f>"059-244-2500  "</f>
        <v xml:space="preserve">059-244-2500  </v>
      </c>
      <c r="E829" s="1" t="s">
        <v>10</v>
      </c>
    </row>
    <row r="830" spans="1:5" x14ac:dyDescent="0.55000000000000004">
      <c r="A830" s="1" t="s">
        <v>338</v>
      </c>
      <c r="B830" s="1" t="s">
        <v>339</v>
      </c>
      <c r="C830" s="1" t="str">
        <f>"津市一身田上津部田476-1"</f>
        <v>津市一身田上津部田476-1</v>
      </c>
      <c r="D830" s="1" t="str">
        <f>"059-233-6611  "</f>
        <v xml:space="preserve">059-233-6611  </v>
      </c>
      <c r="E830" s="1" t="s">
        <v>6</v>
      </c>
    </row>
    <row r="831" spans="1:5" x14ac:dyDescent="0.55000000000000004">
      <c r="A831" s="1" t="s">
        <v>1820</v>
      </c>
      <c r="B831" s="1" t="s">
        <v>1821</v>
      </c>
      <c r="C831" s="1" t="str">
        <f>"津市高野尾町1897-75"</f>
        <v>津市高野尾町1897-75</v>
      </c>
      <c r="D831" s="1" t="str">
        <f>"059-253-8733  "</f>
        <v xml:space="preserve">059-253-8733  </v>
      </c>
      <c r="E831" s="1" t="s">
        <v>22</v>
      </c>
    </row>
    <row r="832" spans="1:5" x14ac:dyDescent="0.55000000000000004">
      <c r="A832" s="1" t="s">
        <v>2238</v>
      </c>
      <c r="B832" s="1" t="s">
        <v>2239</v>
      </c>
      <c r="C832" s="1" t="str">
        <f>"津市久居射場町33-3"</f>
        <v>津市久居射場町33-3</v>
      </c>
      <c r="D832" s="1" t="str">
        <f>"059-256-6100  "</f>
        <v xml:space="preserve">059-256-6100  </v>
      </c>
      <c r="E832" s="1" t="s">
        <v>14</v>
      </c>
    </row>
    <row r="833" spans="1:5" x14ac:dyDescent="0.55000000000000004">
      <c r="A833" s="1" t="s">
        <v>2349</v>
      </c>
      <c r="B833" s="1" t="s">
        <v>2350</v>
      </c>
      <c r="C833" s="1" t="s">
        <v>3085</v>
      </c>
      <c r="D833" s="1" t="str">
        <f>"059-253-2767  "</f>
        <v xml:space="preserve">059-253-2767  </v>
      </c>
      <c r="E833" s="1" t="s">
        <v>111</v>
      </c>
    </row>
    <row r="834" spans="1:5" x14ac:dyDescent="0.55000000000000004">
      <c r="A834" s="1" t="s">
        <v>659</v>
      </c>
      <c r="B834" s="1" t="s">
        <v>660</v>
      </c>
      <c r="C834" s="1" t="s">
        <v>1877</v>
      </c>
      <c r="D834" s="1" t="str">
        <f>"059-238-2222  "</f>
        <v xml:space="preserve">059-238-2222  </v>
      </c>
      <c r="E834" s="1" t="s">
        <v>1878</v>
      </c>
    </row>
    <row r="835" spans="1:5" x14ac:dyDescent="0.55000000000000004">
      <c r="A835" s="1" t="s">
        <v>3035</v>
      </c>
      <c r="B835" s="1" t="s">
        <v>3036</v>
      </c>
      <c r="C835" s="1" t="str">
        <f>"津市豊が丘5丁目47-7"</f>
        <v>津市豊が丘5丁目47-7</v>
      </c>
      <c r="D835" s="1" t="str">
        <f>"059-230-7373  "</f>
        <v xml:space="preserve">059-230-7373  </v>
      </c>
      <c r="E835" s="1" t="s">
        <v>327</v>
      </c>
    </row>
    <row r="836" spans="1:5" x14ac:dyDescent="0.55000000000000004">
      <c r="A836" s="1" t="s">
        <v>2384</v>
      </c>
      <c r="B836" s="1" t="s">
        <v>2385</v>
      </c>
      <c r="C836" s="1" t="s">
        <v>2386</v>
      </c>
      <c r="D836" s="1" t="str">
        <f>"059-244-2515  "</f>
        <v xml:space="preserve">059-244-2515  </v>
      </c>
      <c r="E836" s="1" t="s">
        <v>35</v>
      </c>
    </row>
    <row r="837" spans="1:5" x14ac:dyDescent="0.55000000000000004">
      <c r="A837" s="1" t="s">
        <v>1549</v>
      </c>
      <c r="B837" s="1" t="s">
        <v>1550</v>
      </c>
      <c r="C837" s="1" t="str">
        <f>"津市河芸町一色60-1"</f>
        <v>津市河芸町一色60-1</v>
      </c>
      <c r="D837" s="1" t="str">
        <f>"059-269-7201  "</f>
        <v xml:space="preserve">059-269-7201  </v>
      </c>
      <c r="E837" s="1" t="s">
        <v>1551</v>
      </c>
    </row>
    <row r="838" spans="1:5" x14ac:dyDescent="0.55000000000000004">
      <c r="A838" s="1" t="s">
        <v>1617</v>
      </c>
      <c r="B838" s="1" t="s">
        <v>1618</v>
      </c>
      <c r="C838" s="1" t="s">
        <v>1619</v>
      </c>
      <c r="D838" s="1" t="str">
        <f>"059-269-5000  "</f>
        <v xml:space="preserve">059-269-5000  </v>
      </c>
      <c r="E838" s="1" t="s">
        <v>14</v>
      </c>
    </row>
    <row r="839" spans="1:5" x14ac:dyDescent="0.55000000000000004">
      <c r="A839" s="1" t="s">
        <v>1308</v>
      </c>
      <c r="B839" s="1" t="s">
        <v>1309</v>
      </c>
      <c r="C839" s="1" t="str">
        <f>"津市高茶屋小森町向山1717-4"</f>
        <v>津市高茶屋小森町向山1717-4</v>
      </c>
      <c r="D839" s="1" t="str">
        <f>"059-269-6187  "</f>
        <v xml:space="preserve">059-269-6187  </v>
      </c>
      <c r="E839" s="1" t="s">
        <v>1310</v>
      </c>
    </row>
    <row r="840" spans="1:5" x14ac:dyDescent="0.55000000000000004">
      <c r="A840" s="1" t="s">
        <v>1291</v>
      </c>
      <c r="B840" s="1" t="s">
        <v>1292</v>
      </c>
      <c r="C840" s="1" t="str">
        <f>"津市高野尾町633-61"</f>
        <v>津市高野尾町633-61</v>
      </c>
      <c r="D840" s="1" t="str">
        <f>"059-230-8787  "</f>
        <v xml:space="preserve">059-230-8787  </v>
      </c>
      <c r="E840" s="1" t="s">
        <v>352</v>
      </c>
    </row>
    <row r="841" spans="1:5" x14ac:dyDescent="0.55000000000000004">
      <c r="A841" s="1" t="s">
        <v>2743</v>
      </c>
      <c r="B841" s="1" t="s">
        <v>1292</v>
      </c>
      <c r="C841" s="1" t="str">
        <f>"津市高野尾町633-61"</f>
        <v>津市高野尾町633-61</v>
      </c>
      <c r="D841" s="1" t="str">
        <f>"059-230-8787  "</f>
        <v xml:space="preserve">059-230-8787  </v>
      </c>
      <c r="E841" s="1" t="s">
        <v>352</v>
      </c>
    </row>
    <row r="842" spans="1:5" x14ac:dyDescent="0.55000000000000004">
      <c r="A842" s="1" t="s">
        <v>2832</v>
      </c>
      <c r="B842" s="1" t="s">
        <v>2833</v>
      </c>
      <c r="C842" s="1" t="str">
        <f>"津市白塚町口起3568-4"</f>
        <v>津市白塚町口起3568-4</v>
      </c>
      <c r="D842" s="1" t="str">
        <f>"059-232-0749  "</f>
        <v xml:space="preserve">059-232-0749  </v>
      </c>
      <c r="E842" s="1" t="s">
        <v>2834</v>
      </c>
    </row>
    <row r="843" spans="1:5" x14ac:dyDescent="0.55000000000000004">
      <c r="A843" s="1" t="s">
        <v>240</v>
      </c>
      <c r="B843" s="1" t="s">
        <v>241</v>
      </c>
      <c r="C843" s="1" t="str">
        <f>"津市観音寺町799-7　TTC医療グループビル内"</f>
        <v>津市観音寺町799-7　TTC医療グループビル内</v>
      </c>
      <c r="D843" s="1" t="str">
        <f>"059-213-1001  "</f>
        <v xml:space="preserve">059-213-1001  </v>
      </c>
      <c r="E843" s="1" t="s">
        <v>106</v>
      </c>
    </row>
    <row r="844" spans="1:5" x14ac:dyDescent="0.55000000000000004">
      <c r="A844" s="1" t="s">
        <v>242</v>
      </c>
      <c r="B844" s="1" t="s">
        <v>241</v>
      </c>
      <c r="C844" s="1" t="str">
        <f>"津市観音寺町799-7　TTC医療グループビル内"</f>
        <v>津市観音寺町799-7　TTC医療グループビル内</v>
      </c>
      <c r="D844" s="1" t="str">
        <f>"059-213-1001  "</f>
        <v xml:space="preserve">059-213-1001  </v>
      </c>
      <c r="E844" s="1" t="s">
        <v>106</v>
      </c>
    </row>
    <row r="845" spans="1:5" x14ac:dyDescent="0.55000000000000004">
      <c r="A845" s="1" t="s">
        <v>112</v>
      </c>
      <c r="B845" s="1" t="s">
        <v>2059</v>
      </c>
      <c r="C845" s="1" t="str">
        <f>"津市河芸町東千里260-3"</f>
        <v>津市河芸町東千里260-3</v>
      </c>
      <c r="D845" s="1" t="str">
        <f>"059-244-0880  "</f>
        <v xml:space="preserve">059-244-0880  </v>
      </c>
      <c r="E845" s="1" t="s">
        <v>34</v>
      </c>
    </row>
    <row r="846" spans="1:5" x14ac:dyDescent="0.55000000000000004">
      <c r="A846" s="1" t="s">
        <v>2091</v>
      </c>
      <c r="B846" s="1" t="s">
        <v>2059</v>
      </c>
      <c r="C846" s="1" t="str">
        <f>"津市河芸町東千里260-3"</f>
        <v>津市河芸町東千里260-3</v>
      </c>
      <c r="D846" s="1" t="str">
        <f>"059-244-0880  "</f>
        <v xml:space="preserve">059-244-0880  </v>
      </c>
      <c r="E846" s="1" t="s">
        <v>34</v>
      </c>
    </row>
    <row r="847" spans="1:5" x14ac:dyDescent="0.55000000000000004">
      <c r="A847" s="1" t="s">
        <v>843</v>
      </c>
      <c r="B847" s="1" t="s">
        <v>844</v>
      </c>
      <c r="C847" s="1" t="s">
        <v>845</v>
      </c>
      <c r="D847" s="1" t="str">
        <f>"059-227-5585  "</f>
        <v xml:space="preserve">059-227-5585  </v>
      </c>
      <c r="E847" s="1" t="s">
        <v>846</v>
      </c>
    </row>
    <row r="848" spans="1:5" x14ac:dyDescent="0.55000000000000004">
      <c r="A848" s="1" t="s">
        <v>2920</v>
      </c>
      <c r="B848" s="1" t="s">
        <v>2921</v>
      </c>
      <c r="C848" s="1" t="str">
        <f>"津市丸之内21-20"</f>
        <v>津市丸之内21-20</v>
      </c>
      <c r="D848" s="1" t="str">
        <f>"059-253-6311  "</f>
        <v xml:space="preserve">059-253-6311  </v>
      </c>
      <c r="E848" s="1" t="s">
        <v>24</v>
      </c>
    </row>
    <row r="849" spans="1:5" x14ac:dyDescent="0.55000000000000004">
      <c r="A849" s="1" t="s">
        <v>2252</v>
      </c>
      <c r="B849" s="1" t="s">
        <v>2253</v>
      </c>
      <c r="C849" s="1" t="str">
        <f>"津市雲出本郷町131-83"</f>
        <v>津市雲出本郷町131-83</v>
      </c>
      <c r="D849" s="1" t="str">
        <f>"059-234-3344  "</f>
        <v xml:space="preserve">059-234-3344  </v>
      </c>
      <c r="E849" s="1" t="s">
        <v>2254</v>
      </c>
    </row>
    <row r="850" spans="1:5" x14ac:dyDescent="0.55000000000000004">
      <c r="A850" s="1" t="s">
        <v>1698</v>
      </c>
      <c r="B850" s="1" t="s">
        <v>1699</v>
      </c>
      <c r="C850" s="1" t="str">
        <f>"津市修成町2-3"</f>
        <v>津市修成町2-3</v>
      </c>
      <c r="D850" s="1" t="str">
        <f>"059-227-4187  "</f>
        <v xml:space="preserve">059-227-4187  </v>
      </c>
      <c r="E850" s="1" t="s">
        <v>22</v>
      </c>
    </row>
    <row r="851" spans="1:5" x14ac:dyDescent="0.55000000000000004">
      <c r="A851" s="1" t="s">
        <v>1700</v>
      </c>
      <c r="B851" s="1" t="s">
        <v>1699</v>
      </c>
      <c r="C851" s="1" t="str">
        <f>"津市修成町2-3"</f>
        <v>津市修成町2-3</v>
      </c>
      <c r="D851" s="1" t="str">
        <f>"059-227-4187  "</f>
        <v xml:space="preserve">059-227-4187  </v>
      </c>
      <c r="E851" s="1" t="s">
        <v>22</v>
      </c>
    </row>
    <row r="852" spans="1:5" x14ac:dyDescent="0.55000000000000004">
      <c r="A852" s="1" t="s">
        <v>48</v>
      </c>
      <c r="B852" s="1" t="s">
        <v>49</v>
      </c>
      <c r="C852" s="1" t="s">
        <v>3086</v>
      </c>
      <c r="D852" s="1" t="str">
        <f>"059-221-0500  "</f>
        <v xml:space="preserve">059-221-0500  </v>
      </c>
      <c r="E852" s="1" t="s">
        <v>14</v>
      </c>
    </row>
    <row r="853" spans="1:5" x14ac:dyDescent="0.55000000000000004">
      <c r="A853" s="1" t="s">
        <v>50</v>
      </c>
      <c r="B853" s="1" t="s">
        <v>49</v>
      </c>
      <c r="C853" s="1" t="s">
        <v>3086</v>
      </c>
      <c r="D853" s="1" t="str">
        <f>"059-221-0500  "</f>
        <v xml:space="preserve">059-221-0500  </v>
      </c>
      <c r="E853" s="1" t="s">
        <v>6</v>
      </c>
    </row>
    <row r="854" spans="1:5" x14ac:dyDescent="0.55000000000000004">
      <c r="A854" s="1" t="s">
        <v>2981</v>
      </c>
      <c r="B854" s="1" t="s">
        <v>2982</v>
      </c>
      <c r="C854" s="1" t="str">
        <f>"津市久居中町134-37"</f>
        <v>津市久居中町134-37</v>
      </c>
      <c r="D854" s="1" t="str">
        <f>"059-256-7722  "</f>
        <v xml:space="preserve">059-256-7722  </v>
      </c>
      <c r="E854" s="1" t="s">
        <v>34</v>
      </c>
    </row>
    <row r="855" spans="1:5" x14ac:dyDescent="0.55000000000000004">
      <c r="A855" s="1" t="s">
        <v>1372</v>
      </c>
      <c r="B855" s="1" t="s">
        <v>1373</v>
      </c>
      <c r="C855" s="1" t="str">
        <f>"津市一身田上津部田1581-1"</f>
        <v>津市一身田上津部田1581-1</v>
      </c>
      <c r="D855" s="1" t="str">
        <f>"059-233-0024  "</f>
        <v xml:space="preserve">059-233-0024  </v>
      </c>
      <c r="E855" s="1" t="s">
        <v>1374</v>
      </c>
    </row>
    <row r="856" spans="1:5" x14ac:dyDescent="0.55000000000000004">
      <c r="A856" s="1" t="s">
        <v>1474</v>
      </c>
      <c r="B856" s="1" t="s">
        <v>1373</v>
      </c>
      <c r="C856" s="1" t="str">
        <f>"津市一身田上津部田1581-1"</f>
        <v>津市一身田上津部田1581-1</v>
      </c>
      <c r="D856" s="1" t="str">
        <f>"059-233-0024  "</f>
        <v xml:space="preserve">059-233-0024  </v>
      </c>
      <c r="E856" s="1" t="s">
        <v>129</v>
      </c>
    </row>
    <row r="857" spans="1:5" x14ac:dyDescent="0.55000000000000004">
      <c r="A857" s="1" t="s">
        <v>1847</v>
      </c>
      <c r="B857" s="1" t="s">
        <v>1848</v>
      </c>
      <c r="C857" s="1" t="str">
        <f>"津市野田33-3"</f>
        <v>津市野田33-3</v>
      </c>
      <c r="D857" s="1" t="str">
        <f>"059-237-0838  "</f>
        <v xml:space="preserve">059-237-0838  </v>
      </c>
      <c r="E857" s="1" t="s">
        <v>14</v>
      </c>
    </row>
    <row r="858" spans="1:5" x14ac:dyDescent="0.55000000000000004">
      <c r="A858" s="1" t="s">
        <v>90</v>
      </c>
      <c r="B858" s="1" t="s">
        <v>2223</v>
      </c>
      <c r="C858" s="1" t="str">
        <f>"津市芸濃町椋本5069-6"</f>
        <v>津市芸濃町椋本5069-6</v>
      </c>
      <c r="D858" s="1" t="str">
        <f>"059-266-2700  "</f>
        <v xml:space="preserve">059-266-2700  </v>
      </c>
      <c r="E858" s="1" t="s">
        <v>14</v>
      </c>
    </row>
    <row r="859" spans="1:5" x14ac:dyDescent="0.55000000000000004">
      <c r="A859" s="1" t="s">
        <v>1961</v>
      </c>
      <c r="B859" s="1" t="s">
        <v>144</v>
      </c>
      <c r="C859" s="1" t="s">
        <v>3075</v>
      </c>
      <c r="D859" s="1" t="str">
        <f t="shared" ref="D859:D866" si="31">"059-228-5181  "</f>
        <v xml:space="preserve">059-228-5181  </v>
      </c>
      <c r="E859" s="1" t="s">
        <v>854</v>
      </c>
    </row>
    <row r="860" spans="1:5" x14ac:dyDescent="0.55000000000000004">
      <c r="A860" s="1" t="s">
        <v>2062</v>
      </c>
      <c r="B860" s="1" t="s">
        <v>144</v>
      </c>
      <c r="C860" s="1" t="s">
        <v>3075</v>
      </c>
      <c r="D860" s="1" t="str">
        <f t="shared" si="31"/>
        <v xml:space="preserve">059-228-5181  </v>
      </c>
      <c r="E860" s="1" t="s">
        <v>233</v>
      </c>
    </row>
    <row r="861" spans="1:5" x14ac:dyDescent="0.55000000000000004">
      <c r="A861" s="1" t="s">
        <v>2446</v>
      </c>
      <c r="B861" s="1" t="s">
        <v>144</v>
      </c>
      <c r="C861" s="1" t="str">
        <f t="shared" ref="C861:C866" si="32">"津市西丸之内29-29"</f>
        <v>津市西丸之内29-29</v>
      </c>
      <c r="D861" s="1" t="str">
        <f t="shared" si="31"/>
        <v xml:space="preserve">059-228-5181  </v>
      </c>
      <c r="E861" s="1" t="s">
        <v>725</v>
      </c>
    </row>
    <row r="862" spans="1:5" x14ac:dyDescent="0.55000000000000004">
      <c r="A862" s="1" t="s">
        <v>271</v>
      </c>
      <c r="B862" s="1" t="s">
        <v>144</v>
      </c>
      <c r="C862" s="1" t="str">
        <f t="shared" si="32"/>
        <v>津市西丸之内29-29</v>
      </c>
      <c r="D862" s="1" t="str">
        <f t="shared" si="31"/>
        <v xml:space="preserve">059-228-5181  </v>
      </c>
      <c r="E862" s="1" t="s">
        <v>81</v>
      </c>
    </row>
    <row r="863" spans="1:5" x14ac:dyDescent="0.55000000000000004">
      <c r="A863" s="1" t="s">
        <v>2916</v>
      </c>
      <c r="B863" s="1" t="s">
        <v>144</v>
      </c>
      <c r="C863" s="1" t="str">
        <f t="shared" si="32"/>
        <v>津市西丸之内29-29</v>
      </c>
      <c r="D863" s="1" t="str">
        <f t="shared" si="31"/>
        <v xml:space="preserve">059-228-5181  </v>
      </c>
      <c r="E863" s="1" t="s">
        <v>2917</v>
      </c>
    </row>
    <row r="864" spans="1:5" x14ac:dyDescent="0.55000000000000004">
      <c r="A864" s="1" t="s">
        <v>1851</v>
      </c>
      <c r="B864" s="1" t="s">
        <v>144</v>
      </c>
      <c r="C864" s="1" t="str">
        <f t="shared" si="32"/>
        <v>津市西丸之内29-29</v>
      </c>
      <c r="D864" s="1" t="str">
        <f t="shared" si="31"/>
        <v xml:space="preserve">059-228-5181  </v>
      </c>
      <c r="E864" s="1" t="s">
        <v>195</v>
      </c>
    </row>
    <row r="865" spans="1:5" x14ac:dyDescent="0.55000000000000004">
      <c r="A865" s="1" t="s">
        <v>2655</v>
      </c>
      <c r="B865" s="1" t="s">
        <v>144</v>
      </c>
      <c r="C865" s="1" t="str">
        <f t="shared" si="32"/>
        <v>津市西丸之内29-29</v>
      </c>
      <c r="D865" s="1" t="str">
        <f t="shared" si="31"/>
        <v xml:space="preserve">059-228-5181  </v>
      </c>
      <c r="E865" s="1" t="s">
        <v>233</v>
      </c>
    </row>
    <row r="866" spans="1:5" x14ac:dyDescent="0.55000000000000004">
      <c r="A866" s="1" t="s">
        <v>2906</v>
      </c>
      <c r="B866" s="1" t="s">
        <v>144</v>
      </c>
      <c r="C866" s="1" t="str">
        <f t="shared" si="32"/>
        <v>津市西丸之内29-29</v>
      </c>
      <c r="D866" s="1" t="str">
        <f t="shared" si="31"/>
        <v xml:space="preserve">059-228-5181  </v>
      </c>
      <c r="E866" s="1" t="s">
        <v>233</v>
      </c>
    </row>
    <row r="867" spans="1:5" x14ac:dyDescent="0.55000000000000004">
      <c r="A867" s="1" t="s">
        <v>1760</v>
      </c>
      <c r="B867" s="1" t="s">
        <v>1761</v>
      </c>
      <c r="C867" s="1" t="str">
        <f>"津市高野尾町1890-76"</f>
        <v>津市高野尾町1890-76</v>
      </c>
      <c r="D867" s="1" t="str">
        <f>"059-230-3738  "</f>
        <v xml:space="preserve">059-230-3738  </v>
      </c>
      <c r="E867" s="1" t="s">
        <v>6</v>
      </c>
    </row>
    <row r="868" spans="1:5" x14ac:dyDescent="0.55000000000000004">
      <c r="A868" s="1" t="s">
        <v>1863</v>
      </c>
      <c r="B868" s="1" t="s">
        <v>1761</v>
      </c>
      <c r="C868" s="1" t="str">
        <f>"津市高野尾町1890-76"</f>
        <v>津市高野尾町1890-76</v>
      </c>
      <c r="D868" s="1" t="str">
        <f>"059-230-3738  "</f>
        <v xml:space="preserve">059-230-3738  </v>
      </c>
      <c r="E868" s="1" t="s">
        <v>6</v>
      </c>
    </row>
    <row r="869" spans="1:5" x14ac:dyDescent="0.55000000000000004">
      <c r="A869" s="1" t="s">
        <v>523</v>
      </c>
      <c r="B869" s="1" t="s">
        <v>524</v>
      </c>
      <c r="C869" s="1" t="str">
        <f>"津市一身田上津部田3086-3"</f>
        <v>津市一身田上津部田3086-3</v>
      </c>
      <c r="D869" s="1" t="str">
        <f>"059-213-1024  "</f>
        <v xml:space="preserve">059-213-1024  </v>
      </c>
      <c r="E869" s="1" t="s">
        <v>6</v>
      </c>
    </row>
    <row r="870" spans="1:5" x14ac:dyDescent="0.55000000000000004">
      <c r="A870" s="1" t="s">
        <v>2328</v>
      </c>
      <c r="B870" s="1" t="s">
        <v>2329</v>
      </c>
      <c r="C870" s="1" t="str">
        <f>"津市南中央5-11"</f>
        <v>津市南中央5-11</v>
      </c>
      <c r="D870" s="1" t="str">
        <f>"059-228-9856  "</f>
        <v xml:space="preserve">059-228-9856  </v>
      </c>
      <c r="E870" s="1" t="s">
        <v>10</v>
      </c>
    </row>
    <row r="871" spans="1:5" x14ac:dyDescent="0.55000000000000004">
      <c r="A871" s="1" t="s">
        <v>281</v>
      </c>
      <c r="B871" s="1" t="s">
        <v>282</v>
      </c>
      <c r="C871" s="1" t="s">
        <v>283</v>
      </c>
      <c r="D871" s="1" t="str">
        <f>"059-226-3030  "</f>
        <v xml:space="preserve">059-226-3030  </v>
      </c>
      <c r="E871" s="1" t="s">
        <v>284</v>
      </c>
    </row>
    <row r="872" spans="1:5" x14ac:dyDescent="0.55000000000000004">
      <c r="A872" s="1" t="s">
        <v>2220</v>
      </c>
      <c r="B872" s="1" t="s">
        <v>2221</v>
      </c>
      <c r="C872" s="1" t="s">
        <v>2222</v>
      </c>
      <c r="D872" s="1" t="str">
        <f>"059-221-3700  "</f>
        <v xml:space="preserve">059-221-3700  </v>
      </c>
      <c r="E872" s="1" t="s">
        <v>6</v>
      </c>
    </row>
    <row r="873" spans="1:5" x14ac:dyDescent="0.55000000000000004">
      <c r="A873" s="1" t="s">
        <v>884</v>
      </c>
      <c r="B873" s="1" t="s">
        <v>2249</v>
      </c>
      <c r="C873" s="1" t="str">
        <f>"津市観音寺町799-7　TTCビル3F"</f>
        <v>津市観音寺町799-7　TTCビル3F</v>
      </c>
      <c r="D873" s="1" t="str">
        <f>"059-226-0456  "</f>
        <v xml:space="preserve">059-226-0456  </v>
      </c>
      <c r="E873" s="1" t="s">
        <v>6</v>
      </c>
    </row>
    <row r="874" spans="1:5" x14ac:dyDescent="0.55000000000000004">
      <c r="A874" s="1" t="s">
        <v>2317</v>
      </c>
      <c r="B874" s="1" t="s">
        <v>994</v>
      </c>
      <c r="C874" s="1" t="s">
        <v>995</v>
      </c>
      <c r="D874" s="1" t="str">
        <f t="shared" ref="D874:D879" si="33">"059-228-8111  "</f>
        <v xml:space="preserve">059-228-8111  </v>
      </c>
      <c r="E874" s="1" t="s">
        <v>34</v>
      </c>
    </row>
    <row r="875" spans="1:5" x14ac:dyDescent="0.55000000000000004">
      <c r="A875" s="1" t="s">
        <v>2054</v>
      </c>
      <c r="B875" s="1" t="s">
        <v>994</v>
      </c>
      <c r="C875" s="1" t="s">
        <v>995</v>
      </c>
      <c r="D875" s="1" t="str">
        <f t="shared" si="33"/>
        <v xml:space="preserve">059-228-8111  </v>
      </c>
      <c r="E875" s="1" t="s">
        <v>34</v>
      </c>
    </row>
    <row r="876" spans="1:5" x14ac:dyDescent="0.55000000000000004">
      <c r="A876" s="1" t="s">
        <v>993</v>
      </c>
      <c r="B876" s="1" t="s">
        <v>994</v>
      </c>
      <c r="C876" s="1" t="s">
        <v>995</v>
      </c>
      <c r="D876" s="1" t="str">
        <f t="shared" si="33"/>
        <v xml:space="preserve">059-228-8111  </v>
      </c>
      <c r="E876" s="1" t="s">
        <v>34</v>
      </c>
    </row>
    <row r="877" spans="1:5" x14ac:dyDescent="0.55000000000000004">
      <c r="A877" s="1" t="s">
        <v>996</v>
      </c>
      <c r="B877" s="1" t="s">
        <v>994</v>
      </c>
      <c r="C877" s="1" t="s">
        <v>995</v>
      </c>
      <c r="D877" s="1" t="str">
        <f t="shared" si="33"/>
        <v xml:space="preserve">059-228-8111  </v>
      </c>
      <c r="E877" s="1" t="s">
        <v>34</v>
      </c>
    </row>
    <row r="878" spans="1:5" x14ac:dyDescent="0.55000000000000004">
      <c r="A878" s="1" t="s">
        <v>997</v>
      </c>
      <c r="B878" s="1" t="s">
        <v>994</v>
      </c>
      <c r="C878" s="1" t="s">
        <v>995</v>
      </c>
      <c r="D878" s="1" t="str">
        <f t="shared" si="33"/>
        <v xml:space="preserve">059-228-8111  </v>
      </c>
      <c r="E878" s="1" t="s">
        <v>34</v>
      </c>
    </row>
    <row r="879" spans="1:5" x14ac:dyDescent="0.55000000000000004">
      <c r="A879" s="1" t="s">
        <v>1386</v>
      </c>
      <c r="B879" s="1" t="s">
        <v>994</v>
      </c>
      <c r="C879" s="1" t="s">
        <v>995</v>
      </c>
      <c r="D879" s="1" t="str">
        <f t="shared" si="33"/>
        <v xml:space="preserve">059-228-8111  </v>
      </c>
      <c r="E879" s="1" t="s">
        <v>34</v>
      </c>
    </row>
    <row r="880" spans="1:5" x14ac:dyDescent="0.55000000000000004">
      <c r="A880" s="1" t="s">
        <v>2812</v>
      </c>
      <c r="B880" s="1" t="s">
        <v>2813</v>
      </c>
      <c r="C880" s="1" t="str">
        <f>"津市白塚町2080-1"</f>
        <v>津市白塚町2080-1</v>
      </c>
      <c r="D880" s="1" t="str">
        <f>"059-236-6006  "</f>
        <v xml:space="preserve">059-236-6006  </v>
      </c>
      <c r="E880" s="1" t="s">
        <v>2814</v>
      </c>
    </row>
    <row r="881" spans="1:5" x14ac:dyDescent="0.55000000000000004">
      <c r="A881" s="1" t="s">
        <v>2754</v>
      </c>
      <c r="B881" s="1" t="s">
        <v>2755</v>
      </c>
      <c r="C881" s="1" t="str">
        <f>"津市河芸町東千里6-1"</f>
        <v>津市河芸町東千里6-1</v>
      </c>
      <c r="D881" s="1" t="str">
        <f>"059-245-6111  "</f>
        <v xml:space="preserve">059-245-6111  </v>
      </c>
      <c r="E881" s="1" t="s">
        <v>2756</v>
      </c>
    </row>
    <row r="882" spans="1:5" x14ac:dyDescent="0.55000000000000004">
      <c r="A882" s="1" t="s">
        <v>1663</v>
      </c>
      <c r="B882" s="1" t="s">
        <v>1664</v>
      </c>
      <c r="C882" s="1" t="str">
        <f>"津市栗真中山町下沢79-5"</f>
        <v>津市栗真中山町下沢79-5</v>
      </c>
      <c r="D882" s="1" t="str">
        <f>"059-232-3001  "</f>
        <v xml:space="preserve">059-232-3001  </v>
      </c>
      <c r="E882" s="1" t="s">
        <v>1665</v>
      </c>
    </row>
    <row r="883" spans="1:5" x14ac:dyDescent="0.55000000000000004">
      <c r="A883" s="1" t="s">
        <v>1511</v>
      </c>
      <c r="B883" s="1" t="s">
        <v>1664</v>
      </c>
      <c r="C883" s="1" t="str">
        <f>"津市栗真中山町下沢79-5"</f>
        <v>津市栗真中山町下沢79-5</v>
      </c>
      <c r="D883" s="1" t="str">
        <f>"059-232-3001  "</f>
        <v xml:space="preserve">059-232-3001  </v>
      </c>
      <c r="E883" s="1" t="s">
        <v>1666</v>
      </c>
    </row>
    <row r="884" spans="1:5" x14ac:dyDescent="0.55000000000000004">
      <c r="A884" s="1" t="s">
        <v>2411</v>
      </c>
      <c r="B884" s="1" t="s">
        <v>2412</v>
      </c>
      <c r="C884" s="1" t="str">
        <f>"津市中央2-11"</f>
        <v>津市中央2-11</v>
      </c>
      <c r="D884" s="1" t="str">
        <f>"059-228-2646  "</f>
        <v xml:space="preserve">059-228-2646  </v>
      </c>
      <c r="E884" s="1" t="s">
        <v>216</v>
      </c>
    </row>
    <row r="885" spans="1:5" x14ac:dyDescent="0.55000000000000004">
      <c r="A885" s="1" t="s">
        <v>1405</v>
      </c>
      <c r="B885" s="1" t="s">
        <v>1406</v>
      </c>
      <c r="C885" s="1" t="str">
        <f>"津市一身田上津部田1414-1"</f>
        <v>津市一身田上津部田1414-1</v>
      </c>
      <c r="D885" s="1" t="str">
        <f>"059-221-0234  "</f>
        <v xml:space="preserve">059-221-0234  </v>
      </c>
      <c r="E885" s="1" t="s">
        <v>111</v>
      </c>
    </row>
    <row r="886" spans="1:5" x14ac:dyDescent="0.55000000000000004">
      <c r="A886" s="1" t="s">
        <v>786</v>
      </c>
      <c r="B886" s="1" t="s">
        <v>787</v>
      </c>
      <c r="C886" s="1" t="s">
        <v>788</v>
      </c>
      <c r="D886" s="1" t="str">
        <f>"059-235-3387  "</f>
        <v xml:space="preserve">059-235-3387  </v>
      </c>
      <c r="E886" s="1" t="s">
        <v>22</v>
      </c>
    </row>
    <row r="887" spans="1:5" x14ac:dyDescent="0.55000000000000004">
      <c r="A887" s="1" t="s">
        <v>2878</v>
      </c>
      <c r="B887" s="1" t="s">
        <v>2879</v>
      </c>
      <c r="C887" s="1" t="str">
        <f>"津市久居東鷹跡町261-3"</f>
        <v>津市久居東鷹跡町261-3</v>
      </c>
      <c r="D887" s="1" t="str">
        <f>"059-255-5264  "</f>
        <v xml:space="preserve">059-255-5264  </v>
      </c>
      <c r="E887" s="1" t="s">
        <v>6</v>
      </c>
    </row>
    <row r="888" spans="1:5" x14ac:dyDescent="0.55000000000000004">
      <c r="A888" s="1" t="s">
        <v>1719</v>
      </c>
      <c r="B888" s="1" t="s">
        <v>1720</v>
      </c>
      <c r="C888" s="1" t="s">
        <v>1721</v>
      </c>
      <c r="D888" s="1" t="str">
        <f>"059-254-0050  "</f>
        <v xml:space="preserve">059-254-0050  </v>
      </c>
      <c r="E888" s="1" t="s">
        <v>14</v>
      </c>
    </row>
    <row r="889" spans="1:5" x14ac:dyDescent="0.55000000000000004">
      <c r="A889" s="1" t="s">
        <v>784</v>
      </c>
      <c r="B889" s="1" t="s">
        <v>785</v>
      </c>
      <c r="C889" s="1" t="str">
        <f>"津市新町一丁目10-19"</f>
        <v>津市新町一丁目10-19</v>
      </c>
      <c r="D889" s="1" t="str">
        <f>"059-226-5512  "</f>
        <v xml:space="preserve">059-226-5512  </v>
      </c>
      <c r="E889" s="1" t="s">
        <v>10</v>
      </c>
    </row>
    <row r="890" spans="1:5" x14ac:dyDescent="0.55000000000000004">
      <c r="A890" s="1" t="s">
        <v>412</v>
      </c>
      <c r="B890" s="1" t="s">
        <v>413</v>
      </c>
      <c r="C890" s="1" t="str">
        <f>"津市栗真中山町248-1"</f>
        <v>津市栗真中山町248-1</v>
      </c>
      <c r="D890" s="1" t="str">
        <f>"059-236-2588  "</f>
        <v xml:space="preserve">059-236-2588  </v>
      </c>
      <c r="E890" s="1" t="s">
        <v>14</v>
      </c>
    </row>
    <row r="891" spans="1:5" x14ac:dyDescent="0.55000000000000004">
      <c r="A891" s="1" t="s">
        <v>1734</v>
      </c>
      <c r="B891" s="1" t="s">
        <v>1376</v>
      </c>
      <c r="C891" s="1" t="s">
        <v>1377</v>
      </c>
      <c r="D891" s="1" t="str">
        <f>"059-265-2511  "</f>
        <v xml:space="preserve">059-265-2511  </v>
      </c>
      <c r="E891" s="1" t="s">
        <v>1735</v>
      </c>
    </row>
    <row r="892" spans="1:5" x14ac:dyDescent="0.55000000000000004">
      <c r="A892" s="1" t="s">
        <v>1375</v>
      </c>
      <c r="B892" s="1" t="s">
        <v>1376</v>
      </c>
      <c r="C892" s="1" t="s">
        <v>1377</v>
      </c>
      <c r="D892" s="1" t="str">
        <f>"059-265-2511  "</f>
        <v xml:space="preserve">059-265-2511  </v>
      </c>
      <c r="E892" s="1" t="s">
        <v>1378</v>
      </c>
    </row>
    <row r="893" spans="1:5" x14ac:dyDescent="0.55000000000000004">
      <c r="A893" s="1" t="s">
        <v>1380</v>
      </c>
      <c r="B893" s="1" t="s">
        <v>1376</v>
      </c>
      <c r="C893" s="1" t="s">
        <v>1377</v>
      </c>
      <c r="D893" s="1" t="str">
        <f>"059-265-2511  "</f>
        <v xml:space="preserve">059-265-2511  </v>
      </c>
      <c r="E893" s="1" t="s">
        <v>129</v>
      </c>
    </row>
    <row r="894" spans="1:5" x14ac:dyDescent="0.55000000000000004">
      <c r="A894" s="1" t="s">
        <v>1328</v>
      </c>
      <c r="B894" s="1" t="s">
        <v>1329</v>
      </c>
      <c r="C894" s="1" t="str">
        <f>"津市白山町二本木1139-5"</f>
        <v>津市白山町二本木1139-5</v>
      </c>
      <c r="D894" s="1" t="str">
        <f>"059-264-1234  "</f>
        <v xml:space="preserve">059-264-1234  </v>
      </c>
      <c r="E894" s="1" t="s">
        <v>1330</v>
      </c>
    </row>
    <row r="895" spans="1:5" x14ac:dyDescent="0.55000000000000004">
      <c r="A895" s="1" t="s">
        <v>2904</v>
      </c>
      <c r="B895" s="1" t="s">
        <v>1329</v>
      </c>
      <c r="C895" s="1" t="str">
        <f>"津市白山町二本木1139-5"</f>
        <v>津市白山町二本木1139-5</v>
      </c>
      <c r="D895" s="1" t="str">
        <f>"059-264-1234  "</f>
        <v xml:space="preserve">059-264-1234  </v>
      </c>
      <c r="E895" s="1" t="s">
        <v>2905</v>
      </c>
    </row>
    <row r="896" spans="1:5" x14ac:dyDescent="0.55000000000000004">
      <c r="A896" s="1" t="s">
        <v>3008</v>
      </c>
      <c r="B896" s="1" t="s">
        <v>552</v>
      </c>
      <c r="C896" s="1" t="s">
        <v>372</v>
      </c>
      <c r="D896" s="1" t="str">
        <f t="shared" ref="D896:D902" si="34">"059-252-2300  "</f>
        <v xml:space="preserve">059-252-2300  </v>
      </c>
      <c r="E896" s="1" t="s">
        <v>81</v>
      </c>
    </row>
    <row r="897" spans="1:5" x14ac:dyDescent="0.55000000000000004">
      <c r="A897" s="1" t="s">
        <v>2522</v>
      </c>
      <c r="B897" s="1" t="s">
        <v>552</v>
      </c>
      <c r="C897" s="1" t="s">
        <v>372</v>
      </c>
      <c r="D897" s="1" t="str">
        <f t="shared" si="34"/>
        <v xml:space="preserve">059-252-2300  </v>
      </c>
      <c r="E897" s="1" t="s">
        <v>23</v>
      </c>
    </row>
    <row r="898" spans="1:5" x14ac:dyDescent="0.55000000000000004">
      <c r="A898" s="1" t="s">
        <v>3030</v>
      </c>
      <c r="B898" s="1" t="s">
        <v>552</v>
      </c>
      <c r="C898" s="1" t="s">
        <v>372</v>
      </c>
      <c r="D898" s="1" t="str">
        <f t="shared" si="34"/>
        <v xml:space="preserve">059-252-2300  </v>
      </c>
      <c r="E898" s="1" t="s">
        <v>6</v>
      </c>
    </row>
    <row r="899" spans="1:5" x14ac:dyDescent="0.55000000000000004">
      <c r="A899" s="1" t="s">
        <v>551</v>
      </c>
      <c r="B899" s="1" t="s">
        <v>552</v>
      </c>
      <c r="C899" s="1" t="s">
        <v>372</v>
      </c>
      <c r="D899" s="1" t="str">
        <f t="shared" si="34"/>
        <v xml:space="preserve">059-252-2300  </v>
      </c>
      <c r="E899" s="1" t="s">
        <v>111</v>
      </c>
    </row>
    <row r="900" spans="1:5" x14ac:dyDescent="0.55000000000000004">
      <c r="A900" s="1" t="s">
        <v>556</v>
      </c>
      <c r="B900" s="1" t="s">
        <v>552</v>
      </c>
      <c r="C900" s="1" t="s">
        <v>372</v>
      </c>
      <c r="D900" s="1" t="str">
        <f t="shared" si="34"/>
        <v xml:space="preserve">059-252-2300  </v>
      </c>
      <c r="E900" s="1" t="s">
        <v>131</v>
      </c>
    </row>
    <row r="901" spans="1:5" x14ac:dyDescent="0.55000000000000004">
      <c r="A901" s="1" t="s">
        <v>557</v>
      </c>
      <c r="B901" s="1" t="s">
        <v>552</v>
      </c>
      <c r="C901" s="1" t="s">
        <v>372</v>
      </c>
      <c r="D901" s="1" t="str">
        <f t="shared" si="34"/>
        <v xml:space="preserve">059-252-2300  </v>
      </c>
      <c r="E901" s="1" t="s">
        <v>131</v>
      </c>
    </row>
    <row r="902" spans="1:5" x14ac:dyDescent="0.55000000000000004">
      <c r="A902" s="1" t="s">
        <v>370</v>
      </c>
      <c r="B902" s="1" t="s">
        <v>371</v>
      </c>
      <c r="C902" s="1" t="s">
        <v>372</v>
      </c>
      <c r="D902" s="1" t="str">
        <f t="shared" si="34"/>
        <v xml:space="preserve">059-252-2300  </v>
      </c>
      <c r="E902" s="1" t="s">
        <v>6</v>
      </c>
    </row>
    <row r="903" spans="1:5" x14ac:dyDescent="0.55000000000000004">
      <c r="A903" s="1" t="s">
        <v>2907</v>
      </c>
      <c r="B903" s="1" t="s">
        <v>2908</v>
      </c>
      <c r="C903" s="1" t="str">
        <f>"津市押加部町16-46"</f>
        <v>津市押加部町16-46</v>
      </c>
      <c r="D903" s="1" t="str">
        <f>"059-273-5000  "</f>
        <v xml:space="preserve">059-273-5000  </v>
      </c>
      <c r="E903" s="1" t="s">
        <v>24</v>
      </c>
    </row>
    <row r="904" spans="1:5" x14ac:dyDescent="0.55000000000000004">
      <c r="A904" s="1" t="s">
        <v>2996</v>
      </c>
      <c r="B904" s="1" t="s">
        <v>2997</v>
      </c>
      <c r="C904" s="1" t="str">
        <f>"津市一志町高野229－1"</f>
        <v>津市一志町高野229－1</v>
      </c>
      <c r="D904" s="1" t="str">
        <f>"059-293-3725  "</f>
        <v xml:space="preserve">059-293-3725  </v>
      </c>
      <c r="E904" s="1" t="s">
        <v>35</v>
      </c>
    </row>
    <row r="905" spans="1:5" x14ac:dyDescent="0.55000000000000004">
      <c r="A905" s="1" t="s">
        <v>603</v>
      </c>
      <c r="B905" s="1" t="s">
        <v>604</v>
      </c>
      <c r="C905" s="1" t="s">
        <v>605</v>
      </c>
      <c r="D905" s="1" t="str">
        <f>"059-293-4146  "</f>
        <v xml:space="preserve">059-293-4146  </v>
      </c>
      <c r="E905" s="1" t="s">
        <v>34</v>
      </c>
    </row>
    <row r="906" spans="1:5" x14ac:dyDescent="0.55000000000000004">
      <c r="A906" s="1" t="s">
        <v>2589</v>
      </c>
      <c r="B906" s="1" t="s">
        <v>139</v>
      </c>
      <c r="C906" s="1" t="str">
        <f>"津市久居明神町2090-1"</f>
        <v>津市久居明神町2090-1</v>
      </c>
      <c r="D906" s="1" t="str">
        <f>"059-259-0808  "</f>
        <v xml:space="preserve">059-259-0808  </v>
      </c>
      <c r="E906" s="1" t="s">
        <v>2590</v>
      </c>
    </row>
    <row r="907" spans="1:5" x14ac:dyDescent="0.55000000000000004">
      <c r="A907" s="1" t="s">
        <v>2376</v>
      </c>
      <c r="B907" s="1" t="s">
        <v>2377</v>
      </c>
      <c r="C907" s="1" t="str">
        <f>"津市高野尾町1897-74"</f>
        <v>津市高野尾町1897-74</v>
      </c>
      <c r="D907" s="1" t="str">
        <f>"059-271-8739  "</f>
        <v xml:space="preserve">059-271-8739  </v>
      </c>
      <c r="E907" s="1" t="s">
        <v>14</v>
      </c>
    </row>
    <row r="908" spans="1:5" x14ac:dyDescent="0.55000000000000004">
      <c r="A908" s="1" t="s">
        <v>434</v>
      </c>
      <c r="B908" s="1" t="s">
        <v>435</v>
      </c>
      <c r="C908" s="1" t="s">
        <v>436</v>
      </c>
      <c r="D908" s="1" t="str">
        <f>"059-271-8811  "</f>
        <v xml:space="preserve">059-271-8811  </v>
      </c>
      <c r="E908" s="1" t="s">
        <v>34</v>
      </c>
    </row>
    <row r="909" spans="1:5" x14ac:dyDescent="0.55000000000000004">
      <c r="A909" s="1" t="s">
        <v>2987</v>
      </c>
      <c r="B909" s="1" t="s">
        <v>88</v>
      </c>
      <c r="C909" s="1" t="str">
        <f>"津市西丸之内5-9"</f>
        <v>津市西丸之内5-9</v>
      </c>
      <c r="D909" s="1" t="str">
        <f>"059-271-7710  "</f>
        <v xml:space="preserve">059-271-7710  </v>
      </c>
      <c r="E909" s="1" t="s">
        <v>2988</v>
      </c>
    </row>
    <row r="910" spans="1:5" x14ac:dyDescent="0.55000000000000004">
      <c r="A910" s="1" t="s">
        <v>2099</v>
      </c>
      <c r="B910" s="1" t="s">
        <v>2100</v>
      </c>
      <c r="C910" s="1" t="s">
        <v>3093</v>
      </c>
      <c r="D910" s="1" t="str">
        <f>"059-237-0013  "</f>
        <v xml:space="preserve">059-237-0013  </v>
      </c>
      <c r="E910" s="1" t="s">
        <v>2101</v>
      </c>
    </row>
    <row r="911" spans="1:5" x14ac:dyDescent="0.55000000000000004">
      <c r="A911" s="1" t="s">
        <v>444</v>
      </c>
      <c r="B911" s="1" t="s">
        <v>625</v>
      </c>
      <c r="C911" s="1" t="s">
        <v>3074</v>
      </c>
      <c r="D911" s="1" t="str">
        <f>"059-232-2216  "</f>
        <v xml:space="preserve">059-232-2216  </v>
      </c>
      <c r="E911" s="1" t="s">
        <v>19</v>
      </c>
    </row>
    <row r="912" spans="1:5" x14ac:dyDescent="0.55000000000000004">
      <c r="A912" s="1" t="s">
        <v>387</v>
      </c>
      <c r="B912" s="1" t="s">
        <v>388</v>
      </c>
      <c r="C912" s="1" t="str">
        <f>"津市河芸町杜の街一丁目1-5"</f>
        <v>津市河芸町杜の街一丁目1-5</v>
      </c>
      <c r="D912" s="1" t="str">
        <f>"059-245-1155  "</f>
        <v xml:space="preserve">059-245-1155  </v>
      </c>
      <c r="E912" s="1" t="s">
        <v>389</v>
      </c>
    </row>
    <row r="913" spans="1:5" x14ac:dyDescent="0.55000000000000004">
      <c r="A913" s="1" t="s">
        <v>2684</v>
      </c>
      <c r="B913" s="1" t="s">
        <v>41</v>
      </c>
      <c r="C913" s="1" t="str">
        <f>"津市久居井戸山町707-3"</f>
        <v>津市久居井戸山町707-3</v>
      </c>
      <c r="D913" s="1" t="str">
        <f>"059-253-1951  "</f>
        <v xml:space="preserve">059-253-1951  </v>
      </c>
      <c r="E913" s="1" t="s">
        <v>42</v>
      </c>
    </row>
    <row r="914" spans="1:5" x14ac:dyDescent="0.55000000000000004">
      <c r="A914" s="1" t="s">
        <v>3013</v>
      </c>
      <c r="B914" s="1" t="s">
        <v>317</v>
      </c>
      <c r="C914" s="1" t="str">
        <f>"津市芸濃町林190-2"</f>
        <v>津市芸濃町林190-2</v>
      </c>
      <c r="D914" s="1" t="str">
        <f>"059-265-2016  "</f>
        <v xml:space="preserve">059-265-2016  </v>
      </c>
      <c r="E914" s="1" t="s">
        <v>6</v>
      </c>
    </row>
    <row r="915" spans="1:5" x14ac:dyDescent="0.55000000000000004">
      <c r="A915" s="1" t="s">
        <v>316</v>
      </c>
      <c r="B915" s="1" t="s">
        <v>317</v>
      </c>
      <c r="C915" s="1" t="str">
        <f>"津市芸濃町林190-2"</f>
        <v>津市芸濃町林190-2</v>
      </c>
      <c r="D915" s="1" t="str">
        <f>"059-265-2016  "</f>
        <v xml:space="preserve">059-265-2016  </v>
      </c>
      <c r="E915" s="1" t="s">
        <v>318</v>
      </c>
    </row>
    <row r="916" spans="1:5" x14ac:dyDescent="0.55000000000000004">
      <c r="A916" s="1" t="s">
        <v>2264</v>
      </c>
      <c r="B916" s="1" t="s">
        <v>420</v>
      </c>
      <c r="C916" s="1" t="s">
        <v>421</v>
      </c>
      <c r="D916" s="1" t="str">
        <f t="shared" ref="D916:D938" si="35">"059-232-1111  "</f>
        <v xml:space="preserve">059-232-1111  </v>
      </c>
      <c r="E916" s="1" t="s">
        <v>35</v>
      </c>
    </row>
    <row r="917" spans="1:5" x14ac:dyDescent="0.55000000000000004">
      <c r="A917" s="1" t="s">
        <v>2010</v>
      </c>
      <c r="B917" s="1" t="s">
        <v>420</v>
      </c>
      <c r="C917" s="1" t="s">
        <v>421</v>
      </c>
      <c r="D917" s="1" t="str">
        <f t="shared" si="35"/>
        <v xml:space="preserve">059-232-1111  </v>
      </c>
      <c r="E917" s="1" t="s">
        <v>131</v>
      </c>
    </row>
    <row r="918" spans="1:5" x14ac:dyDescent="0.55000000000000004">
      <c r="A918" s="1" t="s">
        <v>2282</v>
      </c>
      <c r="B918" s="1" t="s">
        <v>420</v>
      </c>
      <c r="C918" s="1" t="s">
        <v>421</v>
      </c>
      <c r="D918" s="1" t="str">
        <f t="shared" si="35"/>
        <v xml:space="preserve">059-232-1111  </v>
      </c>
      <c r="E918" s="1" t="s">
        <v>326</v>
      </c>
    </row>
    <row r="919" spans="1:5" x14ac:dyDescent="0.55000000000000004">
      <c r="A919" s="1" t="s">
        <v>2283</v>
      </c>
      <c r="B919" s="1" t="s">
        <v>420</v>
      </c>
      <c r="C919" s="1" t="s">
        <v>421</v>
      </c>
      <c r="D919" s="1" t="str">
        <f t="shared" si="35"/>
        <v xml:space="preserve">059-232-1111  </v>
      </c>
      <c r="E919" s="1" t="s">
        <v>2284</v>
      </c>
    </row>
    <row r="920" spans="1:5" x14ac:dyDescent="0.55000000000000004">
      <c r="A920" s="1" t="s">
        <v>2286</v>
      </c>
      <c r="B920" s="1" t="s">
        <v>420</v>
      </c>
      <c r="C920" s="1" t="s">
        <v>421</v>
      </c>
      <c r="D920" s="1" t="str">
        <f t="shared" si="35"/>
        <v xml:space="preserve">059-232-1111  </v>
      </c>
      <c r="E920" s="1" t="s">
        <v>326</v>
      </c>
    </row>
    <row r="921" spans="1:5" x14ac:dyDescent="0.55000000000000004">
      <c r="A921" s="1" t="s">
        <v>2290</v>
      </c>
      <c r="B921" s="1" t="s">
        <v>420</v>
      </c>
      <c r="C921" s="1" t="s">
        <v>421</v>
      </c>
      <c r="D921" s="1" t="str">
        <f t="shared" si="35"/>
        <v xml:space="preserve">059-232-1111  </v>
      </c>
      <c r="E921" s="1" t="s">
        <v>858</v>
      </c>
    </row>
    <row r="922" spans="1:5" x14ac:dyDescent="0.55000000000000004">
      <c r="A922" s="1" t="s">
        <v>2974</v>
      </c>
      <c r="B922" s="1" t="s">
        <v>420</v>
      </c>
      <c r="C922" s="1" t="s">
        <v>421</v>
      </c>
      <c r="D922" s="1" t="str">
        <f t="shared" si="35"/>
        <v xml:space="preserve">059-232-1111  </v>
      </c>
      <c r="E922" s="1" t="s">
        <v>1631</v>
      </c>
    </row>
    <row r="923" spans="1:5" x14ac:dyDescent="0.55000000000000004">
      <c r="A923" s="1" t="s">
        <v>2298</v>
      </c>
      <c r="B923" s="1" t="s">
        <v>420</v>
      </c>
      <c r="C923" s="1" t="s">
        <v>421</v>
      </c>
      <c r="D923" s="1" t="str">
        <f t="shared" si="35"/>
        <v xml:space="preserve">059-232-1111  </v>
      </c>
      <c r="E923" s="1" t="s">
        <v>123</v>
      </c>
    </row>
    <row r="924" spans="1:5" x14ac:dyDescent="0.55000000000000004">
      <c r="A924" s="1" t="s">
        <v>2310</v>
      </c>
      <c r="B924" s="1" t="s">
        <v>420</v>
      </c>
      <c r="C924" s="1" t="s">
        <v>421</v>
      </c>
      <c r="D924" s="1" t="str">
        <f t="shared" si="35"/>
        <v xml:space="preserve">059-232-1111  </v>
      </c>
      <c r="E924" s="1" t="s">
        <v>123</v>
      </c>
    </row>
    <row r="925" spans="1:5" x14ac:dyDescent="0.55000000000000004">
      <c r="A925" s="1" t="s">
        <v>2316</v>
      </c>
      <c r="B925" s="1" t="s">
        <v>420</v>
      </c>
      <c r="C925" s="1" t="s">
        <v>421</v>
      </c>
      <c r="D925" s="1" t="str">
        <f t="shared" si="35"/>
        <v xml:space="preserve">059-232-1111  </v>
      </c>
      <c r="E925" s="1" t="s">
        <v>34</v>
      </c>
    </row>
    <row r="926" spans="1:5" x14ac:dyDescent="0.55000000000000004">
      <c r="A926" s="1" t="s">
        <v>2318</v>
      </c>
      <c r="B926" s="1" t="s">
        <v>420</v>
      </c>
      <c r="C926" s="1" t="s">
        <v>421</v>
      </c>
      <c r="D926" s="1" t="str">
        <f t="shared" si="35"/>
        <v xml:space="preserve">059-232-1111  </v>
      </c>
      <c r="E926" s="1" t="s">
        <v>126</v>
      </c>
    </row>
    <row r="927" spans="1:5" x14ac:dyDescent="0.55000000000000004">
      <c r="A927" s="1" t="s">
        <v>2992</v>
      </c>
      <c r="B927" s="1" t="s">
        <v>420</v>
      </c>
      <c r="C927" s="1" t="s">
        <v>421</v>
      </c>
      <c r="D927" s="1" t="str">
        <f t="shared" si="35"/>
        <v xml:space="preserve">059-232-1111  </v>
      </c>
      <c r="E927" s="1" t="s">
        <v>10</v>
      </c>
    </row>
    <row r="928" spans="1:5" x14ac:dyDescent="0.55000000000000004">
      <c r="A928" s="1" t="s">
        <v>1279</v>
      </c>
      <c r="B928" s="1" t="s">
        <v>420</v>
      </c>
      <c r="C928" s="1" t="s">
        <v>421</v>
      </c>
      <c r="D928" s="1" t="str">
        <f t="shared" si="35"/>
        <v xml:space="preserve">059-232-1111  </v>
      </c>
      <c r="E928" s="1" t="s">
        <v>1280</v>
      </c>
    </row>
    <row r="929" spans="1:5" x14ac:dyDescent="0.55000000000000004">
      <c r="A929" s="1" t="s">
        <v>2331</v>
      </c>
      <c r="B929" s="1" t="s">
        <v>420</v>
      </c>
      <c r="C929" s="1" t="s">
        <v>421</v>
      </c>
      <c r="D929" s="1" t="str">
        <f t="shared" si="35"/>
        <v xml:space="preserve">059-232-1111  </v>
      </c>
      <c r="E929" s="1" t="s">
        <v>111</v>
      </c>
    </row>
    <row r="930" spans="1:5" x14ac:dyDescent="0.55000000000000004">
      <c r="A930" s="1" t="s">
        <v>2993</v>
      </c>
      <c r="B930" s="1" t="s">
        <v>420</v>
      </c>
      <c r="C930" s="1" t="s">
        <v>421</v>
      </c>
      <c r="D930" s="1" t="str">
        <f t="shared" si="35"/>
        <v xml:space="preserve">059-232-1111  </v>
      </c>
      <c r="E930" s="1" t="s">
        <v>10</v>
      </c>
    </row>
    <row r="931" spans="1:5" x14ac:dyDescent="0.55000000000000004">
      <c r="A931" s="1" t="s">
        <v>2347</v>
      </c>
      <c r="B931" s="1" t="s">
        <v>420</v>
      </c>
      <c r="C931" s="1" t="s">
        <v>421</v>
      </c>
      <c r="D931" s="1" t="str">
        <f t="shared" si="35"/>
        <v xml:space="preserve">059-232-1111  </v>
      </c>
      <c r="E931" s="1" t="s">
        <v>14</v>
      </c>
    </row>
    <row r="932" spans="1:5" x14ac:dyDescent="0.55000000000000004">
      <c r="A932" s="1" t="s">
        <v>2359</v>
      </c>
      <c r="B932" s="1" t="s">
        <v>420</v>
      </c>
      <c r="C932" s="1" t="s">
        <v>421</v>
      </c>
      <c r="D932" s="1" t="str">
        <f t="shared" si="35"/>
        <v xml:space="preserve">059-232-1111  </v>
      </c>
      <c r="E932" s="1" t="s">
        <v>1089</v>
      </c>
    </row>
    <row r="933" spans="1:5" x14ac:dyDescent="0.55000000000000004">
      <c r="A933" s="1" t="s">
        <v>2925</v>
      </c>
      <c r="B933" s="1" t="s">
        <v>420</v>
      </c>
      <c r="C933" s="1" t="s">
        <v>421</v>
      </c>
      <c r="D933" s="1" t="str">
        <f t="shared" si="35"/>
        <v xml:space="preserve">059-232-1111  </v>
      </c>
      <c r="E933" s="1" t="s">
        <v>10</v>
      </c>
    </row>
    <row r="934" spans="1:5" x14ac:dyDescent="0.55000000000000004">
      <c r="A934" s="1" t="s">
        <v>2020</v>
      </c>
      <c r="B934" s="1" t="s">
        <v>420</v>
      </c>
      <c r="C934" s="1" t="s">
        <v>421</v>
      </c>
      <c r="D934" s="1" t="str">
        <f t="shared" si="35"/>
        <v xml:space="preserve">059-232-1111  </v>
      </c>
      <c r="E934" s="1" t="s">
        <v>62</v>
      </c>
    </row>
    <row r="935" spans="1:5" x14ac:dyDescent="0.55000000000000004">
      <c r="A935" s="1" t="s">
        <v>2998</v>
      </c>
      <c r="B935" s="1" t="s">
        <v>420</v>
      </c>
      <c r="C935" s="1" t="s">
        <v>421</v>
      </c>
      <c r="D935" s="1" t="str">
        <f t="shared" si="35"/>
        <v xml:space="preserve">059-232-1111  </v>
      </c>
      <c r="E935" s="1" t="s">
        <v>35</v>
      </c>
    </row>
    <row r="936" spans="1:5" x14ac:dyDescent="0.55000000000000004">
      <c r="A936" s="1" t="s">
        <v>3003</v>
      </c>
      <c r="B936" s="1" t="s">
        <v>420</v>
      </c>
      <c r="C936" s="1" t="s">
        <v>421</v>
      </c>
      <c r="D936" s="1" t="str">
        <f t="shared" si="35"/>
        <v xml:space="preserve">059-232-1111  </v>
      </c>
      <c r="E936" s="1" t="s">
        <v>1216</v>
      </c>
    </row>
    <row r="937" spans="1:5" x14ac:dyDescent="0.55000000000000004">
      <c r="A937" s="1" t="s">
        <v>2042</v>
      </c>
      <c r="B937" s="1" t="s">
        <v>420</v>
      </c>
      <c r="C937" s="1" t="s">
        <v>421</v>
      </c>
      <c r="D937" s="1" t="str">
        <f t="shared" si="35"/>
        <v xml:space="preserve">059-232-1111  </v>
      </c>
      <c r="E937" s="1" t="s">
        <v>106</v>
      </c>
    </row>
    <row r="938" spans="1:5" x14ac:dyDescent="0.55000000000000004">
      <c r="A938" s="1" t="s">
        <v>2374</v>
      </c>
      <c r="B938" s="1" t="s">
        <v>420</v>
      </c>
      <c r="C938" s="1" t="s">
        <v>421</v>
      </c>
      <c r="D938" s="1" t="str">
        <f t="shared" si="35"/>
        <v xml:space="preserve">059-232-1111  </v>
      </c>
      <c r="E938" s="1" t="s">
        <v>115</v>
      </c>
    </row>
    <row r="939" spans="1:5" x14ac:dyDescent="0.55000000000000004">
      <c r="A939" s="1" t="s">
        <v>2381</v>
      </c>
      <c r="B939" s="1" t="s">
        <v>420</v>
      </c>
      <c r="C939" s="1" t="s">
        <v>421</v>
      </c>
      <c r="D939" s="1" t="str">
        <f>"059-231-9238  "</f>
        <v xml:space="preserve">059-231-9238  </v>
      </c>
      <c r="E939" s="1" t="s">
        <v>126</v>
      </c>
    </row>
    <row r="940" spans="1:5" x14ac:dyDescent="0.55000000000000004">
      <c r="A940" s="1" t="s">
        <v>2049</v>
      </c>
      <c r="B940" s="1" t="s">
        <v>420</v>
      </c>
      <c r="C940" s="1" t="s">
        <v>421</v>
      </c>
      <c r="D940" s="1" t="str">
        <f t="shared" ref="D940:D971" si="36">"059-232-1111  "</f>
        <v xml:space="preserve">059-232-1111  </v>
      </c>
      <c r="E940" s="1" t="s">
        <v>2050</v>
      </c>
    </row>
    <row r="941" spans="1:5" x14ac:dyDescent="0.55000000000000004">
      <c r="A941" s="1" t="s">
        <v>1937</v>
      </c>
      <c r="B941" s="1" t="s">
        <v>420</v>
      </c>
      <c r="C941" s="1" t="s">
        <v>421</v>
      </c>
      <c r="D941" s="1" t="str">
        <f t="shared" si="36"/>
        <v xml:space="preserve">059-232-1111  </v>
      </c>
      <c r="E941" s="1" t="s">
        <v>131</v>
      </c>
    </row>
    <row r="942" spans="1:5" x14ac:dyDescent="0.55000000000000004">
      <c r="A942" s="1" t="s">
        <v>2053</v>
      </c>
      <c r="B942" s="1" t="s">
        <v>420</v>
      </c>
      <c r="C942" s="1" t="s">
        <v>421</v>
      </c>
      <c r="D942" s="1" t="str">
        <f t="shared" si="36"/>
        <v xml:space="preserve">059-232-1111  </v>
      </c>
      <c r="E942" s="1" t="s">
        <v>123</v>
      </c>
    </row>
    <row r="943" spans="1:5" x14ac:dyDescent="0.55000000000000004">
      <c r="A943" s="1" t="s">
        <v>2474</v>
      </c>
      <c r="B943" s="1" t="s">
        <v>420</v>
      </c>
      <c r="C943" s="1" t="s">
        <v>421</v>
      </c>
      <c r="D943" s="1" t="str">
        <f t="shared" si="36"/>
        <v xml:space="preserve">059-232-1111  </v>
      </c>
      <c r="E943" s="1" t="s">
        <v>126</v>
      </c>
    </row>
    <row r="944" spans="1:5" x14ac:dyDescent="0.55000000000000004">
      <c r="A944" s="1" t="s">
        <v>2063</v>
      </c>
      <c r="B944" s="1" t="s">
        <v>420</v>
      </c>
      <c r="C944" s="1" t="s">
        <v>421</v>
      </c>
      <c r="D944" s="1" t="str">
        <f t="shared" si="36"/>
        <v xml:space="preserve">059-232-1111  </v>
      </c>
      <c r="E944" s="1" t="s">
        <v>135</v>
      </c>
    </row>
    <row r="945" spans="1:5" x14ac:dyDescent="0.55000000000000004">
      <c r="A945" s="1" t="s">
        <v>2402</v>
      </c>
      <c r="B945" s="1" t="s">
        <v>420</v>
      </c>
      <c r="C945" s="1" t="s">
        <v>421</v>
      </c>
      <c r="D945" s="1" t="str">
        <f t="shared" si="36"/>
        <v xml:space="preserve">059-232-1111  </v>
      </c>
      <c r="E945" s="1" t="s">
        <v>126</v>
      </c>
    </row>
    <row r="946" spans="1:5" x14ac:dyDescent="0.55000000000000004">
      <c r="A946" s="1" t="s">
        <v>2410</v>
      </c>
      <c r="B946" s="1" t="s">
        <v>420</v>
      </c>
      <c r="C946" s="1" t="s">
        <v>421</v>
      </c>
      <c r="D946" s="1" t="str">
        <f t="shared" si="36"/>
        <v xml:space="preserve">059-232-1111  </v>
      </c>
      <c r="E946" s="1" t="s">
        <v>126</v>
      </c>
    </row>
    <row r="947" spans="1:5" x14ac:dyDescent="0.55000000000000004">
      <c r="A947" s="1" t="s">
        <v>2934</v>
      </c>
      <c r="B947" s="1" t="s">
        <v>420</v>
      </c>
      <c r="C947" s="1" t="s">
        <v>421</v>
      </c>
      <c r="D947" s="1" t="str">
        <f t="shared" si="36"/>
        <v xml:space="preserve">059-232-1111  </v>
      </c>
      <c r="E947" s="1" t="s">
        <v>2935</v>
      </c>
    </row>
    <row r="948" spans="1:5" x14ac:dyDescent="0.55000000000000004">
      <c r="A948" s="1" t="s">
        <v>2077</v>
      </c>
      <c r="B948" s="1" t="s">
        <v>420</v>
      </c>
      <c r="C948" s="1" t="s">
        <v>421</v>
      </c>
      <c r="D948" s="1" t="str">
        <f t="shared" si="36"/>
        <v xml:space="preserve">059-232-1111  </v>
      </c>
      <c r="E948" s="1" t="s">
        <v>135</v>
      </c>
    </row>
    <row r="949" spans="1:5" x14ac:dyDescent="0.55000000000000004">
      <c r="A949" s="1" t="s">
        <v>2086</v>
      </c>
      <c r="B949" s="1" t="s">
        <v>420</v>
      </c>
      <c r="C949" s="1" t="s">
        <v>421</v>
      </c>
      <c r="D949" s="1" t="str">
        <f t="shared" si="36"/>
        <v xml:space="preserve">059-232-1111  </v>
      </c>
      <c r="E949" s="1" t="s">
        <v>1089</v>
      </c>
    </row>
    <row r="950" spans="1:5" x14ac:dyDescent="0.55000000000000004">
      <c r="A950" s="1" t="s">
        <v>2422</v>
      </c>
      <c r="B950" s="1" t="s">
        <v>420</v>
      </c>
      <c r="C950" s="1" t="s">
        <v>421</v>
      </c>
      <c r="D950" s="1" t="str">
        <f t="shared" si="36"/>
        <v xml:space="preserve">059-232-1111  </v>
      </c>
      <c r="E950" s="1" t="s">
        <v>131</v>
      </c>
    </row>
    <row r="951" spans="1:5" x14ac:dyDescent="0.55000000000000004">
      <c r="A951" s="1" t="s">
        <v>2425</v>
      </c>
      <c r="B951" s="1" t="s">
        <v>420</v>
      </c>
      <c r="C951" s="1" t="s">
        <v>421</v>
      </c>
      <c r="D951" s="1" t="str">
        <f t="shared" si="36"/>
        <v xml:space="preserve">059-232-1111  </v>
      </c>
      <c r="E951" s="1" t="s">
        <v>111</v>
      </c>
    </row>
    <row r="952" spans="1:5" x14ac:dyDescent="0.55000000000000004">
      <c r="A952" s="1" t="s">
        <v>2427</v>
      </c>
      <c r="B952" s="1" t="s">
        <v>420</v>
      </c>
      <c r="C952" s="1" t="s">
        <v>421</v>
      </c>
      <c r="D952" s="1" t="str">
        <f t="shared" si="36"/>
        <v xml:space="preserve">059-232-1111  </v>
      </c>
      <c r="E952" s="1" t="s">
        <v>81</v>
      </c>
    </row>
    <row r="953" spans="1:5" x14ac:dyDescent="0.55000000000000004">
      <c r="A953" s="1" t="s">
        <v>3006</v>
      </c>
      <c r="B953" s="1" t="s">
        <v>420</v>
      </c>
      <c r="C953" s="1" t="s">
        <v>421</v>
      </c>
      <c r="D953" s="1" t="str">
        <f t="shared" si="36"/>
        <v xml:space="preserve">059-232-1111  </v>
      </c>
      <c r="E953" s="1" t="s">
        <v>3007</v>
      </c>
    </row>
    <row r="954" spans="1:5" x14ac:dyDescent="0.55000000000000004">
      <c r="A954" s="1" t="s">
        <v>3009</v>
      </c>
      <c r="B954" s="1" t="s">
        <v>420</v>
      </c>
      <c r="C954" s="1" t="s">
        <v>421</v>
      </c>
      <c r="D954" s="1" t="str">
        <f t="shared" si="36"/>
        <v xml:space="preserve">059-232-1111  </v>
      </c>
      <c r="E954" s="1" t="s">
        <v>10</v>
      </c>
    </row>
    <row r="955" spans="1:5" x14ac:dyDescent="0.55000000000000004">
      <c r="A955" s="1" t="s">
        <v>1950</v>
      </c>
      <c r="B955" s="1" t="s">
        <v>420</v>
      </c>
      <c r="C955" s="1" t="s">
        <v>421</v>
      </c>
      <c r="D955" s="1" t="str">
        <f t="shared" si="36"/>
        <v xml:space="preserve">059-232-1111  </v>
      </c>
      <c r="E955" s="1" t="s">
        <v>111</v>
      </c>
    </row>
    <row r="956" spans="1:5" x14ac:dyDescent="0.55000000000000004">
      <c r="A956" s="1" t="s">
        <v>2420</v>
      </c>
      <c r="B956" s="1" t="s">
        <v>420</v>
      </c>
      <c r="C956" s="1" t="s">
        <v>421</v>
      </c>
      <c r="D956" s="1" t="str">
        <f t="shared" si="36"/>
        <v xml:space="preserve">059-232-1111  </v>
      </c>
      <c r="E956" s="1" t="s">
        <v>10</v>
      </c>
    </row>
    <row r="957" spans="1:5" x14ac:dyDescent="0.55000000000000004">
      <c r="A957" s="1" t="s">
        <v>2434</v>
      </c>
      <c r="B957" s="1" t="s">
        <v>420</v>
      </c>
      <c r="C957" s="1" t="s">
        <v>421</v>
      </c>
      <c r="D957" s="1" t="str">
        <f t="shared" si="36"/>
        <v xml:space="preserve">059-232-1111  </v>
      </c>
      <c r="E957" s="1" t="s">
        <v>34</v>
      </c>
    </row>
    <row r="958" spans="1:5" x14ac:dyDescent="0.55000000000000004">
      <c r="A958" s="1" t="s">
        <v>2435</v>
      </c>
      <c r="B958" s="1" t="s">
        <v>420</v>
      </c>
      <c r="C958" s="1" t="s">
        <v>421</v>
      </c>
      <c r="D958" s="1" t="str">
        <f t="shared" si="36"/>
        <v xml:space="preserve">059-232-1111  </v>
      </c>
      <c r="E958" s="1" t="s">
        <v>34</v>
      </c>
    </row>
    <row r="959" spans="1:5" x14ac:dyDescent="0.55000000000000004">
      <c r="A959" s="1" t="s">
        <v>2093</v>
      </c>
      <c r="B959" s="1" t="s">
        <v>420</v>
      </c>
      <c r="C959" s="1" t="s">
        <v>421</v>
      </c>
      <c r="D959" s="1" t="str">
        <f t="shared" si="36"/>
        <v xml:space="preserve">059-232-1111  </v>
      </c>
      <c r="E959" s="1" t="s">
        <v>2094</v>
      </c>
    </row>
    <row r="960" spans="1:5" x14ac:dyDescent="0.55000000000000004">
      <c r="A960" s="1" t="s">
        <v>2441</v>
      </c>
      <c r="B960" s="1" t="s">
        <v>420</v>
      </c>
      <c r="C960" s="1" t="s">
        <v>421</v>
      </c>
      <c r="D960" s="1" t="str">
        <f t="shared" si="36"/>
        <v xml:space="preserve">059-232-1111  </v>
      </c>
      <c r="E960" s="1" t="s">
        <v>10</v>
      </c>
    </row>
    <row r="961" spans="1:5" x14ac:dyDescent="0.55000000000000004">
      <c r="A961" s="1" t="s">
        <v>2442</v>
      </c>
      <c r="B961" s="1" t="s">
        <v>420</v>
      </c>
      <c r="C961" s="1" t="s">
        <v>421</v>
      </c>
      <c r="D961" s="1" t="str">
        <f t="shared" si="36"/>
        <v xml:space="preserve">059-232-1111  </v>
      </c>
      <c r="E961" s="1" t="s">
        <v>10</v>
      </c>
    </row>
    <row r="962" spans="1:5" x14ac:dyDescent="0.55000000000000004">
      <c r="A962" s="1" t="s">
        <v>2464</v>
      </c>
      <c r="B962" s="1" t="s">
        <v>420</v>
      </c>
      <c r="C962" s="1" t="s">
        <v>421</v>
      </c>
      <c r="D962" s="1" t="str">
        <f t="shared" si="36"/>
        <v xml:space="preserve">059-232-1111  </v>
      </c>
      <c r="E962" s="1" t="s">
        <v>126</v>
      </c>
    </row>
    <row r="963" spans="1:5" x14ac:dyDescent="0.55000000000000004">
      <c r="A963" s="1" t="s">
        <v>2475</v>
      </c>
      <c r="B963" s="1" t="s">
        <v>420</v>
      </c>
      <c r="C963" s="1" t="s">
        <v>421</v>
      </c>
      <c r="D963" s="1" t="str">
        <f t="shared" si="36"/>
        <v xml:space="preserve">059-232-1111  </v>
      </c>
      <c r="E963" s="1" t="s">
        <v>1590</v>
      </c>
    </row>
    <row r="964" spans="1:5" x14ac:dyDescent="0.55000000000000004">
      <c r="A964" s="1" t="s">
        <v>2476</v>
      </c>
      <c r="B964" s="1" t="s">
        <v>420</v>
      </c>
      <c r="C964" s="1" t="s">
        <v>421</v>
      </c>
      <c r="D964" s="1" t="str">
        <f t="shared" si="36"/>
        <v xml:space="preserve">059-232-1111  </v>
      </c>
      <c r="E964" s="1" t="s">
        <v>1590</v>
      </c>
    </row>
    <row r="965" spans="1:5" x14ac:dyDescent="0.55000000000000004">
      <c r="A965" s="1" t="s">
        <v>2108</v>
      </c>
      <c r="B965" s="1" t="s">
        <v>420</v>
      </c>
      <c r="C965" s="1" t="s">
        <v>421</v>
      </c>
      <c r="D965" s="1" t="str">
        <f t="shared" si="36"/>
        <v xml:space="preserve">059-232-1111  </v>
      </c>
      <c r="E965" s="1" t="s">
        <v>14</v>
      </c>
    </row>
    <row r="966" spans="1:5" x14ac:dyDescent="0.55000000000000004">
      <c r="A966" s="1" t="s">
        <v>2477</v>
      </c>
      <c r="B966" s="1" t="s">
        <v>420</v>
      </c>
      <c r="C966" s="1" t="s">
        <v>421</v>
      </c>
      <c r="D966" s="1" t="str">
        <f t="shared" si="36"/>
        <v xml:space="preserve">059-232-1111  </v>
      </c>
      <c r="E966" s="1" t="s">
        <v>1590</v>
      </c>
    </row>
    <row r="967" spans="1:5" x14ac:dyDescent="0.55000000000000004">
      <c r="A967" s="1" t="s">
        <v>2478</v>
      </c>
      <c r="B967" s="1" t="s">
        <v>420</v>
      </c>
      <c r="C967" s="1" t="s">
        <v>421</v>
      </c>
      <c r="D967" s="1" t="str">
        <f t="shared" si="36"/>
        <v xml:space="preserve">059-232-1111  </v>
      </c>
      <c r="E967" s="1" t="s">
        <v>1590</v>
      </c>
    </row>
    <row r="968" spans="1:5" x14ac:dyDescent="0.55000000000000004">
      <c r="A968" s="1" t="s">
        <v>2115</v>
      </c>
      <c r="B968" s="1" t="s">
        <v>420</v>
      </c>
      <c r="C968" s="1" t="s">
        <v>421</v>
      </c>
      <c r="D968" s="1" t="str">
        <f t="shared" si="36"/>
        <v xml:space="preserve">059-232-1111  </v>
      </c>
      <c r="E968" s="1" t="s">
        <v>14</v>
      </c>
    </row>
    <row r="969" spans="1:5" x14ac:dyDescent="0.55000000000000004">
      <c r="A969" s="1" t="s">
        <v>2116</v>
      </c>
      <c r="B969" s="1" t="s">
        <v>420</v>
      </c>
      <c r="C969" s="1" t="s">
        <v>421</v>
      </c>
      <c r="D969" s="1" t="str">
        <f t="shared" si="36"/>
        <v xml:space="preserve">059-232-1111  </v>
      </c>
      <c r="E969" s="1" t="s">
        <v>14</v>
      </c>
    </row>
    <row r="970" spans="1:5" x14ac:dyDescent="0.55000000000000004">
      <c r="A970" s="1" t="s">
        <v>2120</v>
      </c>
      <c r="B970" s="1" t="s">
        <v>420</v>
      </c>
      <c r="C970" s="1" t="s">
        <v>421</v>
      </c>
      <c r="D970" s="1" t="str">
        <f t="shared" si="36"/>
        <v xml:space="preserve">059-232-1111  </v>
      </c>
      <c r="E970" s="1" t="s">
        <v>131</v>
      </c>
    </row>
    <row r="971" spans="1:5" x14ac:dyDescent="0.55000000000000004">
      <c r="A971" s="1" t="s">
        <v>2498</v>
      </c>
      <c r="B971" s="1" t="s">
        <v>420</v>
      </c>
      <c r="C971" s="1" t="s">
        <v>421</v>
      </c>
      <c r="D971" s="1" t="str">
        <f t="shared" si="36"/>
        <v xml:space="preserve">059-232-1111  </v>
      </c>
      <c r="E971" s="1" t="s">
        <v>981</v>
      </c>
    </row>
    <row r="972" spans="1:5" x14ac:dyDescent="0.55000000000000004">
      <c r="A972" s="1" t="s">
        <v>2499</v>
      </c>
      <c r="B972" s="1" t="s">
        <v>420</v>
      </c>
      <c r="C972" s="1" t="s">
        <v>421</v>
      </c>
      <c r="D972" s="1" t="str">
        <f t="shared" ref="D972:D1003" si="37">"059-232-1111  "</f>
        <v xml:space="preserve">059-232-1111  </v>
      </c>
      <c r="E972" s="1" t="s">
        <v>35</v>
      </c>
    </row>
    <row r="973" spans="1:5" x14ac:dyDescent="0.55000000000000004">
      <c r="A973" s="1" t="s">
        <v>2939</v>
      </c>
      <c r="B973" s="1" t="s">
        <v>420</v>
      </c>
      <c r="C973" s="1" t="s">
        <v>421</v>
      </c>
      <c r="D973" s="1" t="str">
        <f t="shared" si="37"/>
        <v xml:space="preserve">059-232-1111  </v>
      </c>
      <c r="E973" s="1" t="s">
        <v>10</v>
      </c>
    </row>
    <row r="974" spans="1:5" x14ac:dyDescent="0.55000000000000004">
      <c r="A974" s="1" t="s">
        <v>2493</v>
      </c>
      <c r="B974" s="1" t="s">
        <v>420</v>
      </c>
      <c r="C974" s="1" t="s">
        <v>421</v>
      </c>
      <c r="D974" s="1" t="str">
        <f t="shared" si="37"/>
        <v xml:space="preserve">059-232-1111  </v>
      </c>
      <c r="E974" s="1" t="s">
        <v>131</v>
      </c>
    </row>
    <row r="975" spans="1:5" x14ac:dyDescent="0.55000000000000004">
      <c r="A975" s="1" t="s">
        <v>2506</v>
      </c>
      <c r="B975" s="1" t="s">
        <v>420</v>
      </c>
      <c r="C975" s="1" t="s">
        <v>421</v>
      </c>
      <c r="D975" s="1" t="str">
        <f t="shared" si="37"/>
        <v xml:space="preserve">059-232-1111  </v>
      </c>
      <c r="E975" s="1" t="s">
        <v>2094</v>
      </c>
    </row>
    <row r="976" spans="1:5" x14ac:dyDescent="0.55000000000000004">
      <c r="A976" s="1" t="s">
        <v>2507</v>
      </c>
      <c r="B976" s="1" t="s">
        <v>420</v>
      </c>
      <c r="C976" s="1" t="s">
        <v>421</v>
      </c>
      <c r="D976" s="1" t="str">
        <f t="shared" si="37"/>
        <v xml:space="preserve">059-232-1111  </v>
      </c>
      <c r="E976" s="1" t="s">
        <v>81</v>
      </c>
    </row>
    <row r="977" spans="1:5" x14ac:dyDescent="0.55000000000000004">
      <c r="A977" s="1" t="s">
        <v>2509</v>
      </c>
      <c r="B977" s="1" t="s">
        <v>420</v>
      </c>
      <c r="C977" s="1" t="s">
        <v>421</v>
      </c>
      <c r="D977" s="1" t="str">
        <f t="shared" si="37"/>
        <v xml:space="preserve">059-232-1111  </v>
      </c>
      <c r="E977" s="1" t="s">
        <v>326</v>
      </c>
    </row>
    <row r="978" spans="1:5" x14ac:dyDescent="0.55000000000000004">
      <c r="A978" s="1" t="s">
        <v>2530</v>
      </c>
      <c r="B978" s="1" t="s">
        <v>420</v>
      </c>
      <c r="C978" s="1" t="s">
        <v>421</v>
      </c>
      <c r="D978" s="1" t="str">
        <f t="shared" si="37"/>
        <v xml:space="preserve">059-232-1111  </v>
      </c>
      <c r="E978" s="1" t="s">
        <v>135</v>
      </c>
    </row>
    <row r="979" spans="1:5" x14ac:dyDescent="0.55000000000000004">
      <c r="A979" s="1" t="s">
        <v>2045</v>
      </c>
      <c r="B979" s="1" t="s">
        <v>420</v>
      </c>
      <c r="C979" s="1" t="s">
        <v>421</v>
      </c>
      <c r="D979" s="1" t="str">
        <f t="shared" si="37"/>
        <v xml:space="preserve">059-232-1111  </v>
      </c>
      <c r="E979" s="1" t="s">
        <v>14</v>
      </c>
    </row>
    <row r="980" spans="1:5" x14ac:dyDescent="0.55000000000000004">
      <c r="A980" s="1" t="s">
        <v>992</v>
      </c>
      <c r="B980" s="1" t="s">
        <v>420</v>
      </c>
      <c r="C980" s="1" t="s">
        <v>421</v>
      </c>
      <c r="D980" s="1" t="str">
        <f t="shared" si="37"/>
        <v xml:space="preserve">059-232-1111  </v>
      </c>
      <c r="E980" s="1" t="s">
        <v>1089</v>
      </c>
    </row>
    <row r="981" spans="1:5" x14ac:dyDescent="0.55000000000000004">
      <c r="A981" s="1" t="s">
        <v>2131</v>
      </c>
      <c r="B981" s="1" t="s">
        <v>420</v>
      </c>
      <c r="C981" s="1" t="s">
        <v>421</v>
      </c>
      <c r="D981" s="1" t="str">
        <f t="shared" si="37"/>
        <v xml:space="preserve">059-232-1111  </v>
      </c>
      <c r="E981" s="1" t="s">
        <v>1089</v>
      </c>
    </row>
    <row r="982" spans="1:5" x14ac:dyDescent="0.55000000000000004">
      <c r="A982" s="1" t="s">
        <v>2516</v>
      </c>
      <c r="B982" s="1" t="s">
        <v>420</v>
      </c>
      <c r="C982" s="1" t="s">
        <v>421</v>
      </c>
      <c r="D982" s="1" t="str">
        <f t="shared" si="37"/>
        <v xml:space="preserve">059-232-1111  </v>
      </c>
      <c r="E982" s="1" t="s">
        <v>14</v>
      </c>
    </row>
    <row r="983" spans="1:5" x14ac:dyDescent="0.55000000000000004">
      <c r="A983" s="1" t="s">
        <v>2537</v>
      </c>
      <c r="B983" s="1" t="s">
        <v>420</v>
      </c>
      <c r="C983" s="1" t="s">
        <v>421</v>
      </c>
      <c r="D983" s="1" t="str">
        <f t="shared" si="37"/>
        <v xml:space="preserve">059-232-1111  </v>
      </c>
      <c r="E983" s="1" t="s">
        <v>106</v>
      </c>
    </row>
    <row r="984" spans="1:5" x14ac:dyDescent="0.55000000000000004">
      <c r="A984" s="1" t="s">
        <v>2539</v>
      </c>
      <c r="B984" s="1" t="s">
        <v>420</v>
      </c>
      <c r="C984" s="1" t="s">
        <v>421</v>
      </c>
      <c r="D984" s="1" t="str">
        <f t="shared" si="37"/>
        <v xml:space="preserve">059-232-1111  </v>
      </c>
      <c r="E984" s="1" t="s">
        <v>135</v>
      </c>
    </row>
    <row r="985" spans="1:5" x14ac:dyDescent="0.55000000000000004">
      <c r="A985" s="1" t="s">
        <v>2540</v>
      </c>
      <c r="B985" s="1" t="s">
        <v>420</v>
      </c>
      <c r="C985" s="1" t="s">
        <v>421</v>
      </c>
      <c r="D985" s="1" t="str">
        <f t="shared" si="37"/>
        <v xml:space="preserve">059-232-1111  </v>
      </c>
      <c r="E985" s="1" t="s">
        <v>34</v>
      </c>
    </row>
    <row r="986" spans="1:5" x14ac:dyDescent="0.55000000000000004">
      <c r="A986" s="1" t="s">
        <v>2544</v>
      </c>
      <c r="B986" s="1" t="s">
        <v>420</v>
      </c>
      <c r="C986" s="1" t="s">
        <v>421</v>
      </c>
      <c r="D986" s="1" t="str">
        <f t="shared" si="37"/>
        <v xml:space="preserve">059-232-1111  </v>
      </c>
      <c r="E986" s="1" t="s">
        <v>129</v>
      </c>
    </row>
    <row r="987" spans="1:5" x14ac:dyDescent="0.55000000000000004">
      <c r="A987" s="1" t="s">
        <v>2555</v>
      </c>
      <c r="B987" s="1" t="s">
        <v>420</v>
      </c>
      <c r="C987" s="1" t="s">
        <v>421</v>
      </c>
      <c r="D987" s="1" t="str">
        <f t="shared" si="37"/>
        <v xml:space="preserve">059-232-1111  </v>
      </c>
      <c r="E987" s="1" t="s">
        <v>123</v>
      </c>
    </row>
    <row r="988" spans="1:5" x14ac:dyDescent="0.55000000000000004">
      <c r="A988" s="1" t="s">
        <v>2558</v>
      </c>
      <c r="B988" s="1" t="s">
        <v>420</v>
      </c>
      <c r="C988" s="1" t="s">
        <v>421</v>
      </c>
      <c r="D988" s="1" t="str">
        <f t="shared" si="37"/>
        <v xml:space="preserve">059-232-1111  </v>
      </c>
      <c r="E988" s="1" t="s">
        <v>135</v>
      </c>
    </row>
    <row r="989" spans="1:5" x14ac:dyDescent="0.55000000000000004">
      <c r="A989" s="1" t="s">
        <v>2588</v>
      </c>
      <c r="B989" s="1" t="s">
        <v>420</v>
      </c>
      <c r="C989" s="1" t="s">
        <v>421</v>
      </c>
      <c r="D989" s="1" t="str">
        <f t="shared" si="37"/>
        <v xml:space="preserve">059-232-1111  </v>
      </c>
      <c r="E989" s="1" t="s">
        <v>126</v>
      </c>
    </row>
    <row r="990" spans="1:5" x14ac:dyDescent="0.55000000000000004">
      <c r="A990" s="1" t="s">
        <v>2157</v>
      </c>
      <c r="B990" s="1" t="s">
        <v>420</v>
      </c>
      <c r="C990" s="1" t="s">
        <v>421</v>
      </c>
      <c r="D990" s="1" t="str">
        <f t="shared" si="37"/>
        <v xml:space="preserve">059-232-1111  </v>
      </c>
      <c r="E990" s="1" t="s">
        <v>131</v>
      </c>
    </row>
    <row r="991" spans="1:5" x14ac:dyDescent="0.55000000000000004">
      <c r="A991" s="1" t="s">
        <v>2576</v>
      </c>
      <c r="B991" s="1" t="s">
        <v>420</v>
      </c>
      <c r="C991" s="1" t="s">
        <v>421</v>
      </c>
      <c r="D991" s="1" t="str">
        <f t="shared" si="37"/>
        <v xml:space="preserve">059-232-1111  </v>
      </c>
      <c r="E991" s="1" t="s">
        <v>135</v>
      </c>
    </row>
    <row r="992" spans="1:5" x14ac:dyDescent="0.55000000000000004">
      <c r="A992" s="1" t="s">
        <v>2583</v>
      </c>
      <c r="B992" s="1" t="s">
        <v>420</v>
      </c>
      <c r="C992" s="1" t="s">
        <v>421</v>
      </c>
      <c r="D992" s="1" t="str">
        <f t="shared" si="37"/>
        <v xml:space="preserve">059-232-1111  </v>
      </c>
      <c r="E992" s="1" t="s">
        <v>111</v>
      </c>
    </row>
    <row r="993" spans="1:5" x14ac:dyDescent="0.55000000000000004">
      <c r="A993" s="1" t="s">
        <v>419</v>
      </c>
      <c r="B993" s="1" t="s">
        <v>420</v>
      </c>
      <c r="C993" s="1" t="s">
        <v>421</v>
      </c>
      <c r="D993" s="1" t="str">
        <f t="shared" si="37"/>
        <v xml:space="preserve">059-232-1111  </v>
      </c>
      <c r="E993" s="1" t="s">
        <v>126</v>
      </c>
    </row>
    <row r="994" spans="1:5" x14ac:dyDescent="0.55000000000000004">
      <c r="A994" s="1" t="s">
        <v>666</v>
      </c>
      <c r="B994" s="1" t="s">
        <v>420</v>
      </c>
      <c r="C994" s="1" t="s">
        <v>421</v>
      </c>
      <c r="D994" s="1" t="str">
        <f t="shared" si="37"/>
        <v xml:space="preserve">059-232-1111  </v>
      </c>
      <c r="E994" s="1" t="s">
        <v>131</v>
      </c>
    </row>
    <row r="995" spans="1:5" x14ac:dyDescent="0.55000000000000004">
      <c r="A995" s="1" t="s">
        <v>1159</v>
      </c>
      <c r="B995" s="1" t="s">
        <v>420</v>
      </c>
      <c r="C995" s="1" t="s">
        <v>421</v>
      </c>
      <c r="D995" s="1" t="str">
        <f t="shared" si="37"/>
        <v xml:space="preserve">059-232-1111  </v>
      </c>
      <c r="E995" s="1" t="s">
        <v>35</v>
      </c>
    </row>
    <row r="996" spans="1:5" x14ac:dyDescent="0.55000000000000004">
      <c r="A996" s="1" t="s">
        <v>1162</v>
      </c>
      <c r="B996" s="1" t="s">
        <v>420</v>
      </c>
      <c r="C996" s="1" t="s">
        <v>421</v>
      </c>
      <c r="D996" s="1" t="str">
        <f t="shared" si="37"/>
        <v xml:space="preserve">059-232-1111  </v>
      </c>
      <c r="E996" s="1" t="s">
        <v>1163</v>
      </c>
    </row>
    <row r="997" spans="1:5" x14ac:dyDescent="0.55000000000000004">
      <c r="A997" s="1" t="s">
        <v>1174</v>
      </c>
      <c r="B997" s="1" t="s">
        <v>420</v>
      </c>
      <c r="C997" s="1" t="s">
        <v>421</v>
      </c>
      <c r="D997" s="1" t="str">
        <f t="shared" si="37"/>
        <v xml:space="preserve">059-232-1111  </v>
      </c>
      <c r="E997" s="1" t="s">
        <v>35</v>
      </c>
    </row>
    <row r="998" spans="1:5" x14ac:dyDescent="0.55000000000000004">
      <c r="A998" s="1" t="s">
        <v>1203</v>
      </c>
      <c r="B998" s="1" t="s">
        <v>420</v>
      </c>
      <c r="C998" s="1" t="s">
        <v>421</v>
      </c>
      <c r="D998" s="1" t="str">
        <f t="shared" si="37"/>
        <v xml:space="preserve">059-232-1111  </v>
      </c>
      <c r="E998" s="1" t="s">
        <v>111</v>
      </c>
    </row>
    <row r="999" spans="1:5" x14ac:dyDescent="0.55000000000000004">
      <c r="A999" s="1" t="s">
        <v>1238</v>
      </c>
      <c r="B999" s="1" t="s">
        <v>420</v>
      </c>
      <c r="C999" s="1" t="s">
        <v>421</v>
      </c>
      <c r="D999" s="1" t="str">
        <f t="shared" si="37"/>
        <v xml:space="preserve">059-232-1111  </v>
      </c>
      <c r="E999" s="1" t="s">
        <v>131</v>
      </c>
    </row>
    <row r="1000" spans="1:5" x14ac:dyDescent="0.55000000000000004">
      <c r="A1000" s="1" t="s">
        <v>1240</v>
      </c>
      <c r="B1000" s="1" t="s">
        <v>420</v>
      </c>
      <c r="C1000" s="1" t="s">
        <v>421</v>
      </c>
      <c r="D1000" s="1" t="str">
        <f t="shared" si="37"/>
        <v xml:space="preserve">059-232-1111  </v>
      </c>
      <c r="E1000" s="1" t="s">
        <v>131</v>
      </c>
    </row>
    <row r="1001" spans="1:5" x14ac:dyDescent="0.55000000000000004">
      <c r="A1001" s="1" t="s">
        <v>1248</v>
      </c>
      <c r="B1001" s="1" t="s">
        <v>420</v>
      </c>
      <c r="C1001" s="1" t="s">
        <v>421</v>
      </c>
      <c r="D1001" s="1" t="str">
        <f t="shared" si="37"/>
        <v xml:space="preserve">059-232-1111  </v>
      </c>
      <c r="E1001" s="1" t="s">
        <v>131</v>
      </c>
    </row>
    <row r="1002" spans="1:5" x14ac:dyDescent="0.55000000000000004">
      <c r="A1002" s="1" t="s">
        <v>1255</v>
      </c>
      <c r="B1002" s="1" t="s">
        <v>420</v>
      </c>
      <c r="C1002" s="1" t="s">
        <v>421</v>
      </c>
      <c r="D1002" s="1" t="str">
        <f t="shared" si="37"/>
        <v xml:space="preserve">059-232-1111  </v>
      </c>
      <c r="E1002" s="1" t="s">
        <v>111</v>
      </c>
    </row>
    <row r="1003" spans="1:5" x14ac:dyDescent="0.55000000000000004">
      <c r="A1003" s="1" t="s">
        <v>1256</v>
      </c>
      <c r="B1003" s="1" t="s">
        <v>420</v>
      </c>
      <c r="C1003" s="1" t="s">
        <v>421</v>
      </c>
      <c r="D1003" s="1" t="str">
        <f t="shared" si="37"/>
        <v xml:space="preserve">059-232-1111  </v>
      </c>
      <c r="E1003" s="1" t="s">
        <v>111</v>
      </c>
    </row>
    <row r="1004" spans="1:5" x14ac:dyDescent="0.55000000000000004">
      <c r="A1004" s="1" t="s">
        <v>1257</v>
      </c>
      <c r="B1004" s="1" t="s">
        <v>420</v>
      </c>
      <c r="C1004" s="1" t="s">
        <v>421</v>
      </c>
      <c r="D1004" s="1" t="str">
        <f t="shared" ref="D1004:D1035" si="38">"059-232-1111  "</f>
        <v xml:space="preserve">059-232-1111  </v>
      </c>
      <c r="E1004" s="1" t="s">
        <v>111</v>
      </c>
    </row>
    <row r="1005" spans="1:5" x14ac:dyDescent="0.55000000000000004">
      <c r="A1005" s="1" t="s">
        <v>1260</v>
      </c>
      <c r="B1005" s="1" t="s">
        <v>420</v>
      </c>
      <c r="C1005" s="1" t="s">
        <v>421</v>
      </c>
      <c r="D1005" s="1" t="str">
        <f t="shared" si="38"/>
        <v xml:space="preserve">059-232-1111  </v>
      </c>
      <c r="E1005" s="1" t="s">
        <v>111</v>
      </c>
    </row>
    <row r="1006" spans="1:5" x14ac:dyDescent="0.55000000000000004">
      <c r="A1006" s="1" t="s">
        <v>1265</v>
      </c>
      <c r="B1006" s="1" t="s">
        <v>420</v>
      </c>
      <c r="C1006" s="1" t="s">
        <v>421</v>
      </c>
      <c r="D1006" s="1" t="str">
        <f t="shared" si="38"/>
        <v xml:space="preserve">059-232-1111  </v>
      </c>
      <c r="E1006" s="1" t="s">
        <v>981</v>
      </c>
    </row>
    <row r="1007" spans="1:5" x14ac:dyDescent="0.55000000000000004">
      <c r="A1007" s="1" t="s">
        <v>1268</v>
      </c>
      <c r="B1007" s="1" t="s">
        <v>420</v>
      </c>
      <c r="C1007" s="1" t="s">
        <v>421</v>
      </c>
      <c r="D1007" s="1" t="str">
        <f t="shared" si="38"/>
        <v xml:space="preserve">059-232-1111  </v>
      </c>
      <c r="E1007" s="1" t="s">
        <v>981</v>
      </c>
    </row>
    <row r="1008" spans="1:5" x14ac:dyDescent="0.55000000000000004">
      <c r="A1008" s="1" t="s">
        <v>1271</v>
      </c>
      <c r="B1008" s="1" t="s">
        <v>420</v>
      </c>
      <c r="C1008" s="1" t="s">
        <v>421</v>
      </c>
      <c r="D1008" s="1" t="str">
        <f t="shared" si="38"/>
        <v xml:space="preserve">059-232-1111  </v>
      </c>
      <c r="E1008" s="1" t="s">
        <v>981</v>
      </c>
    </row>
    <row r="1009" spans="1:5" x14ac:dyDescent="0.55000000000000004">
      <c r="A1009" s="1" t="s">
        <v>1275</v>
      </c>
      <c r="B1009" s="1" t="s">
        <v>420</v>
      </c>
      <c r="C1009" s="1" t="s">
        <v>421</v>
      </c>
      <c r="D1009" s="1" t="str">
        <f t="shared" si="38"/>
        <v xml:space="preserve">059-232-1111  </v>
      </c>
      <c r="E1009" s="1" t="s">
        <v>981</v>
      </c>
    </row>
    <row r="1010" spans="1:5" x14ac:dyDescent="0.55000000000000004">
      <c r="A1010" s="1" t="s">
        <v>1276</v>
      </c>
      <c r="B1010" s="1" t="s">
        <v>420</v>
      </c>
      <c r="C1010" s="1" t="s">
        <v>421</v>
      </c>
      <c r="D1010" s="1" t="str">
        <f t="shared" si="38"/>
        <v xml:space="preserve">059-232-1111  </v>
      </c>
      <c r="E1010" s="1" t="s">
        <v>981</v>
      </c>
    </row>
    <row r="1011" spans="1:5" x14ac:dyDescent="0.55000000000000004">
      <c r="A1011" s="1" t="s">
        <v>1297</v>
      </c>
      <c r="B1011" s="1" t="s">
        <v>420</v>
      </c>
      <c r="C1011" s="1" t="s">
        <v>421</v>
      </c>
      <c r="D1011" s="1" t="str">
        <f t="shared" si="38"/>
        <v xml:space="preserve">059-232-1111  </v>
      </c>
      <c r="E1011" s="1" t="s">
        <v>10</v>
      </c>
    </row>
    <row r="1012" spans="1:5" x14ac:dyDescent="0.55000000000000004">
      <c r="A1012" s="1" t="s">
        <v>1298</v>
      </c>
      <c r="B1012" s="1" t="s">
        <v>420</v>
      </c>
      <c r="C1012" s="1" t="s">
        <v>421</v>
      </c>
      <c r="D1012" s="1" t="str">
        <f t="shared" si="38"/>
        <v xml:space="preserve">059-232-1111  </v>
      </c>
      <c r="E1012" s="1" t="s">
        <v>10</v>
      </c>
    </row>
    <row r="1013" spans="1:5" x14ac:dyDescent="0.55000000000000004">
      <c r="A1013" s="1" t="s">
        <v>1299</v>
      </c>
      <c r="B1013" s="1" t="s">
        <v>420</v>
      </c>
      <c r="C1013" s="1" t="s">
        <v>421</v>
      </c>
      <c r="D1013" s="1" t="str">
        <f t="shared" si="38"/>
        <v xml:space="preserve">059-232-1111  </v>
      </c>
      <c r="E1013" s="1" t="s">
        <v>10</v>
      </c>
    </row>
    <row r="1014" spans="1:5" x14ac:dyDescent="0.55000000000000004">
      <c r="A1014" s="1" t="s">
        <v>1301</v>
      </c>
      <c r="B1014" s="1" t="s">
        <v>420</v>
      </c>
      <c r="C1014" s="1" t="s">
        <v>421</v>
      </c>
      <c r="D1014" s="1" t="str">
        <f t="shared" si="38"/>
        <v xml:space="preserve">059-232-1111  </v>
      </c>
      <c r="E1014" s="1" t="s">
        <v>34</v>
      </c>
    </row>
    <row r="1015" spans="1:5" x14ac:dyDescent="0.55000000000000004">
      <c r="A1015" s="1" t="s">
        <v>1303</v>
      </c>
      <c r="B1015" s="1" t="s">
        <v>420</v>
      </c>
      <c r="C1015" s="1" t="s">
        <v>421</v>
      </c>
      <c r="D1015" s="1" t="str">
        <f t="shared" si="38"/>
        <v xml:space="preserve">059-232-1111  </v>
      </c>
      <c r="E1015" s="1" t="s">
        <v>34</v>
      </c>
    </row>
    <row r="1016" spans="1:5" x14ac:dyDescent="0.55000000000000004">
      <c r="A1016" s="1" t="s">
        <v>1304</v>
      </c>
      <c r="B1016" s="1" t="s">
        <v>420</v>
      </c>
      <c r="C1016" s="1" t="s">
        <v>421</v>
      </c>
      <c r="D1016" s="1" t="str">
        <f t="shared" si="38"/>
        <v xml:space="preserve">059-232-1111  </v>
      </c>
      <c r="E1016" s="1" t="s">
        <v>34</v>
      </c>
    </row>
    <row r="1017" spans="1:5" x14ac:dyDescent="0.55000000000000004">
      <c r="A1017" s="1" t="s">
        <v>1305</v>
      </c>
      <c r="B1017" s="1" t="s">
        <v>420</v>
      </c>
      <c r="C1017" s="1" t="s">
        <v>421</v>
      </c>
      <c r="D1017" s="1" t="str">
        <f t="shared" si="38"/>
        <v xml:space="preserve">059-232-1111  </v>
      </c>
      <c r="E1017" s="1" t="s">
        <v>34</v>
      </c>
    </row>
    <row r="1018" spans="1:5" x14ac:dyDescent="0.55000000000000004">
      <c r="A1018" s="1" t="s">
        <v>1311</v>
      </c>
      <c r="B1018" s="1" t="s">
        <v>420</v>
      </c>
      <c r="C1018" s="1" t="s">
        <v>421</v>
      </c>
      <c r="D1018" s="1" t="str">
        <f t="shared" si="38"/>
        <v xml:space="preserve">059-232-1111  </v>
      </c>
      <c r="E1018" s="1" t="s">
        <v>135</v>
      </c>
    </row>
    <row r="1019" spans="1:5" x14ac:dyDescent="0.55000000000000004">
      <c r="A1019" s="1" t="s">
        <v>1312</v>
      </c>
      <c r="B1019" s="1" t="s">
        <v>420</v>
      </c>
      <c r="C1019" s="1" t="s">
        <v>421</v>
      </c>
      <c r="D1019" s="1" t="str">
        <f t="shared" si="38"/>
        <v xml:space="preserve">059-232-1111  </v>
      </c>
      <c r="E1019" s="1" t="s">
        <v>135</v>
      </c>
    </row>
    <row r="1020" spans="1:5" x14ac:dyDescent="0.55000000000000004">
      <c r="A1020" s="1" t="s">
        <v>1313</v>
      </c>
      <c r="B1020" s="1" t="s">
        <v>420</v>
      </c>
      <c r="C1020" s="1" t="s">
        <v>421</v>
      </c>
      <c r="D1020" s="1" t="str">
        <f t="shared" si="38"/>
        <v xml:space="preserve">059-232-1111  </v>
      </c>
      <c r="E1020" s="1" t="s">
        <v>135</v>
      </c>
    </row>
    <row r="1021" spans="1:5" x14ac:dyDescent="0.55000000000000004">
      <c r="A1021" s="1" t="s">
        <v>1315</v>
      </c>
      <c r="B1021" s="1" t="s">
        <v>420</v>
      </c>
      <c r="C1021" s="1" t="s">
        <v>421</v>
      </c>
      <c r="D1021" s="1" t="str">
        <f t="shared" si="38"/>
        <v xml:space="preserve">059-232-1111  </v>
      </c>
      <c r="E1021" s="1" t="s">
        <v>135</v>
      </c>
    </row>
    <row r="1022" spans="1:5" x14ac:dyDescent="0.55000000000000004">
      <c r="A1022" s="1" t="s">
        <v>1316</v>
      </c>
      <c r="B1022" s="1" t="s">
        <v>420</v>
      </c>
      <c r="C1022" s="1" t="s">
        <v>421</v>
      </c>
      <c r="D1022" s="1" t="str">
        <f t="shared" si="38"/>
        <v xml:space="preserve">059-232-1111  </v>
      </c>
      <c r="E1022" s="1" t="s">
        <v>135</v>
      </c>
    </row>
    <row r="1023" spans="1:5" x14ac:dyDescent="0.55000000000000004">
      <c r="A1023" s="1" t="s">
        <v>1317</v>
      </c>
      <c r="B1023" s="1" t="s">
        <v>420</v>
      </c>
      <c r="C1023" s="1" t="s">
        <v>421</v>
      </c>
      <c r="D1023" s="1" t="str">
        <f t="shared" si="38"/>
        <v xml:space="preserve">059-232-1111  </v>
      </c>
      <c r="E1023" s="1" t="s">
        <v>123</v>
      </c>
    </row>
    <row r="1024" spans="1:5" x14ac:dyDescent="0.55000000000000004">
      <c r="A1024" s="1" t="s">
        <v>1321</v>
      </c>
      <c r="B1024" s="1" t="s">
        <v>420</v>
      </c>
      <c r="C1024" s="1" t="s">
        <v>421</v>
      </c>
      <c r="D1024" s="1" t="str">
        <f t="shared" si="38"/>
        <v xml:space="preserve">059-232-1111  </v>
      </c>
      <c r="E1024" s="1" t="s">
        <v>126</v>
      </c>
    </row>
    <row r="1025" spans="1:5" x14ac:dyDescent="0.55000000000000004">
      <c r="A1025" s="1" t="s">
        <v>1327</v>
      </c>
      <c r="B1025" s="1" t="s">
        <v>420</v>
      </c>
      <c r="C1025" s="1" t="s">
        <v>421</v>
      </c>
      <c r="D1025" s="1" t="str">
        <f t="shared" si="38"/>
        <v xml:space="preserve">059-232-1111  </v>
      </c>
      <c r="E1025" s="1" t="s">
        <v>81</v>
      </c>
    </row>
    <row r="1026" spans="1:5" x14ac:dyDescent="0.55000000000000004">
      <c r="A1026" s="1" t="s">
        <v>1333</v>
      </c>
      <c r="B1026" s="1" t="s">
        <v>420</v>
      </c>
      <c r="C1026" s="1" t="s">
        <v>421</v>
      </c>
      <c r="D1026" s="1" t="str">
        <f t="shared" si="38"/>
        <v xml:space="preserve">059-232-1111  </v>
      </c>
      <c r="E1026" s="1" t="s">
        <v>81</v>
      </c>
    </row>
    <row r="1027" spans="1:5" x14ac:dyDescent="0.55000000000000004">
      <c r="A1027" s="1" t="s">
        <v>1334</v>
      </c>
      <c r="B1027" s="1" t="s">
        <v>420</v>
      </c>
      <c r="C1027" s="1" t="s">
        <v>421</v>
      </c>
      <c r="D1027" s="1" t="str">
        <f t="shared" si="38"/>
        <v xml:space="preserve">059-232-1111  </v>
      </c>
      <c r="E1027" s="1" t="s">
        <v>81</v>
      </c>
    </row>
    <row r="1028" spans="1:5" x14ac:dyDescent="0.55000000000000004">
      <c r="A1028" s="1" t="s">
        <v>1335</v>
      </c>
      <c r="B1028" s="1" t="s">
        <v>420</v>
      </c>
      <c r="C1028" s="1" t="s">
        <v>421</v>
      </c>
      <c r="D1028" s="1" t="str">
        <f t="shared" si="38"/>
        <v xml:space="preserve">059-232-1111  </v>
      </c>
      <c r="E1028" s="1" t="s">
        <v>81</v>
      </c>
    </row>
    <row r="1029" spans="1:5" x14ac:dyDescent="0.55000000000000004">
      <c r="A1029" s="1" t="s">
        <v>1341</v>
      </c>
      <c r="B1029" s="1" t="s">
        <v>420</v>
      </c>
      <c r="C1029" s="1" t="s">
        <v>421</v>
      </c>
      <c r="D1029" s="1" t="str">
        <f t="shared" si="38"/>
        <v xml:space="preserve">059-232-1111  </v>
      </c>
      <c r="E1029" s="1" t="s">
        <v>865</v>
      </c>
    </row>
    <row r="1030" spans="1:5" x14ac:dyDescent="0.55000000000000004">
      <c r="A1030" s="1" t="s">
        <v>1347</v>
      </c>
      <c r="B1030" s="1" t="s">
        <v>420</v>
      </c>
      <c r="C1030" s="1" t="s">
        <v>421</v>
      </c>
      <c r="D1030" s="1" t="str">
        <f t="shared" si="38"/>
        <v xml:space="preserve">059-232-1111  </v>
      </c>
      <c r="E1030" s="1" t="s">
        <v>865</v>
      </c>
    </row>
    <row r="1031" spans="1:5" x14ac:dyDescent="0.55000000000000004">
      <c r="A1031" s="1" t="s">
        <v>1348</v>
      </c>
      <c r="B1031" s="1" t="s">
        <v>420</v>
      </c>
      <c r="C1031" s="1" t="s">
        <v>421</v>
      </c>
      <c r="D1031" s="1" t="str">
        <f t="shared" si="38"/>
        <v xml:space="preserve">059-232-1111  </v>
      </c>
      <c r="E1031" s="1" t="s">
        <v>865</v>
      </c>
    </row>
    <row r="1032" spans="1:5" x14ac:dyDescent="0.55000000000000004">
      <c r="A1032" s="1" t="s">
        <v>1355</v>
      </c>
      <c r="B1032" s="1" t="s">
        <v>420</v>
      </c>
      <c r="C1032" s="1" t="s">
        <v>421</v>
      </c>
      <c r="D1032" s="1" t="str">
        <f t="shared" si="38"/>
        <v xml:space="preserve">059-232-1111  </v>
      </c>
      <c r="E1032" s="1" t="s">
        <v>865</v>
      </c>
    </row>
    <row r="1033" spans="1:5" x14ac:dyDescent="0.55000000000000004">
      <c r="A1033" s="1" t="s">
        <v>1356</v>
      </c>
      <c r="B1033" s="1" t="s">
        <v>420</v>
      </c>
      <c r="C1033" s="1" t="s">
        <v>421</v>
      </c>
      <c r="D1033" s="1" t="str">
        <f t="shared" si="38"/>
        <v xml:space="preserve">059-232-1111  </v>
      </c>
      <c r="E1033" s="1" t="s">
        <v>865</v>
      </c>
    </row>
    <row r="1034" spans="1:5" x14ac:dyDescent="0.55000000000000004">
      <c r="A1034" s="1" t="s">
        <v>1360</v>
      </c>
      <c r="B1034" s="1" t="s">
        <v>420</v>
      </c>
      <c r="C1034" s="1" t="s">
        <v>421</v>
      </c>
      <c r="D1034" s="1" t="str">
        <f t="shared" si="38"/>
        <v xml:space="preserve">059-232-1111  </v>
      </c>
      <c r="E1034" s="1" t="s">
        <v>1361</v>
      </c>
    </row>
    <row r="1035" spans="1:5" x14ac:dyDescent="0.55000000000000004">
      <c r="A1035" s="1" t="s">
        <v>1365</v>
      </c>
      <c r="B1035" s="1" t="s">
        <v>420</v>
      </c>
      <c r="C1035" s="1" t="s">
        <v>421</v>
      </c>
      <c r="D1035" s="1" t="str">
        <f t="shared" si="38"/>
        <v xml:space="preserve">059-232-1111  </v>
      </c>
      <c r="E1035" s="1" t="s">
        <v>126</v>
      </c>
    </row>
    <row r="1036" spans="1:5" x14ac:dyDescent="0.55000000000000004">
      <c r="A1036" s="1" t="s">
        <v>1370</v>
      </c>
      <c r="B1036" s="1" t="s">
        <v>420</v>
      </c>
      <c r="C1036" s="1" t="s">
        <v>421</v>
      </c>
      <c r="D1036" s="1" t="str">
        <f t="shared" ref="D1036:D1067" si="39">"059-232-1111  "</f>
        <v xml:space="preserve">059-232-1111  </v>
      </c>
      <c r="E1036" s="1" t="s">
        <v>106</v>
      </c>
    </row>
    <row r="1037" spans="1:5" x14ac:dyDescent="0.55000000000000004">
      <c r="A1037" s="1" t="s">
        <v>1379</v>
      </c>
      <c r="B1037" s="1" t="s">
        <v>420</v>
      </c>
      <c r="C1037" s="1" t="s">
        <v>421</v>
      </c>
      <c r="D1037" s="1" t="str">
        <f t="shared" si="39"/>
        <v xml:space="preserve">059-232-1111  </v>
      </c>
      <c r="E1037" s="1" t="s">
        <v>129</v>
      </c>
    </row>
    <row r="1038" spans="1:5" x14ac:dyDescent="0.55000000000000004">
      <c r="A1038" s="1" t="s">
        <v>1454</v>
      </c>
      <c r="B1038" s="1" t="s">
        <v>420</v>
      </c>
      <c r="C1038" s="1" t="s">
        <v>421</v>
      </c>
      <c r="D1038" s="1" t="str">
        <f t="shared" si="39"/>
        <v xml:space="preserve">059-232-1111  </v>
      </c>
      <c r="E1038" s="1" t="s">
        <v>131</v>
      </c>
    </row>
    <row r="1039" spans="1:5" x14ac:dyDescent="0.55000000000000004">
      <c r="A1039" s="1" t="s">
        <v>1464</v>
      </c>
      <c r="B1039" s="1" t="s">
        <v>420</v>
      </c>
      <c r="C1039" s="1" t="s">
        <v>421</v>
      </c>
      <c r="D1039" s="1" t="str">
        <f t="shared" si="39"/>
        <v xml:space="preserve">059-232-1111  </v>
      </c>
      <c r="E1039" s="1" t="s">
        <v>14</v>
      </c>
    </row>
    <row r="1040" spans="1:5" x14ac:dyDescent="0.55000000000000004">
      <c r="A1040" s="1" t="s">
        <v>1470</v>
      </c>
      <c r="B1040" s="1" t="s">
        <v>420</v>
      </c>
      <c r="C1040" s="1" t="s">
        <v>421</v>
      </c>
      <c r="D1040" s="1" t="str">
        <f t="shared" si="39"/>
        <v xml:space="preserve">059-232-1111  </v>
      </c>
      <c r="E1040" s="1" t="s">
        <v>131</v>
      </c>
    </row>
    <row r="1041" spans="1:5" x14ac:dyDescent="0.55000000000000004">
      <c r="A1041" s="1" t="s">
        <v>1471</v>
      </c>
      <c r="B1041" s="1" t="s">
        <v>420</v>
      </c>
      <c r="C1041" s="1" t="s">
        <v>421</v>
      </c>
      <c r="D1041" s="1" t="str">
        <f t="shared" si="39"/>
        <v xml:space="preserve">059-232-1111  </v>
      </c>
      <c r="E1041" s="1" t="s">
        <v>81</v>
      </c>
    </row>
    <row r="1042" spans="1:5" x14ac:dyDescent="0.55000000000000004">
      <c r="A1042" s="1" t="s">
        <v>1473</v>
      </c>
      <c r="B1042" s="1" t="s">
        <v>420</v>
      </c>
      <c r="C1042" s="1" t="s">
        <v>421</v>
      </c>
      <c r="D1042" s="1" t="str">
        <f t="shared" si="39"/>
        <v xml:space="preserve">059-232-1111  </v>
      </c>
      <c r="E1042" s="1" t="s">
        <v>865</v>
      </c>
    </row>
    <row r="1043" spans="1:5" x14ac:dyDescent="0.55000000000000004">
      <c r="A1043" s="1" t="s">
        <v>1571</v>
      </c>
      <c r="B1043" s="1" t="s">
        <v>420</v>
      </c>
      <c r="C1043" s="1" t="s">
        <v>421</v>
      </c>
      <c r="D1043" s="1" t="str">
        <f t="shared" si="39"/>
        <v xml:space="preserve">059-232-1111  </v>
      </c>
      <c r="E1043" s="1" t="s">
        <v>981</v>
      </c>
    </row>
    <row r="1044" spans="1:5" x14ac:dyDescent="0.55000000000000004">
      <c r="A1044" s="1" t="s">
        <v>1589</v>
      </c>
      <c r="B1044" s="1" t="s">
        <v>420</v>
      </c>
      <c r="C1044" s="1" t="s">
        <v>421</v>
      </c>
      <c r="D1044" s="1" t="str">
        <f t="shared" si="39"/>
        <v xml:space="preserve">059-232-1111  </v>
      </c>
      <c r="E1044" s="1" t="s">
        <v>1590</v>
      </c>
    </row>
    <row r="1045" spans="1:5" x14ac:dyDescent="0.55000000000000004">
      <c r="A1045" s="1" t="s">
        <v>1596</v>
      </c>
      <c r="B1045" s="1" t="s">
        <v>420</v>
      </c>
      <c r="C1045" s="1" t="s">
        <v>421</v>
      </c>
      <c r="D1045" s="1" t="str">
        <f t="shared" si="39"/>
        <v xml:space="preserve">059-232-1111  </v>
      </c>
      <c r="E1045" s="1" t="s">
        <v>81</v>
      </c>
    </row>
    <row r="1046" spans="1:5" x14ac:dyDescent="0.55000000000000004">
      <c r="A1046" s="1" t="s">
        <v>1599</v>
      </c>
      <c r="B1046" s="1" t="s">
        <v>420</v>
      </c>
      <c r="C1046" s="1" t="s">
        <v>421</v>
      </c>
      <c r="D1046" s="1" t="str">
        <f t="shared" si="39"/>
        <v xml:space="preserve">059-232-1111  </v>
      </c>
      <c r="E1046" s="1" t="s">
        <v>14</v>
      </c>
    </row>
    <row r="1047" spans="1:5" x14ac:dyDescent="0.55000000000000004">
      <c r="A1047" s="1" t="s">
        <v>1613</v>
      </c>
      <c r="B1047" s="1" t="s">
        <v>420</v>
      </c>
      <c r="C1047" s="1" t="s">
        <v>421</v>
      </c>
      <c r="D1047" s="1" t="str">
        <f t="shared" si="39"/>
        <v xml:space="preserve">059-232-1111  </v>
      </c>
      <c r="E1047" s="1" t="s">
        <v>111</v>
      </c>
    </row>
    <row r="1048" spans="1:5" x14ac:dyDescent="0.55000000000000004">
      <c r="A1048" s="1" t="s">
        <v>1633</v>
      </c>
      <c r="B1048" s="1" t="s">
        <v>420</v>
      </c>
      <c r="C1048" s="1" t="s">
        <v>421</v>
      </c>
      <c r="D1048" s="1" t="str">
        <f t="shared" si="39"/>
        <v xml:space="preserve">059-232-1111  </v>
      </c>
      <c r="E1048" s="1" t="s">
        <v>865</v>
      </c>
    </row>
    <row r="1049" spans="1:5" x14ac:dyDescent="0.55000000000000004">
      <c r="A1049" s="1" t="s">
        <v>1657</v>
      </c>
      <c r="B1049" s="1" t="s">
        <v>420</v>
      </c>
      <c r="C1049" s="1" t="s">
        <v>421</v>
      </c>
      <c r="D1049" s="1" t="str">
        <f t="shared" si="39"/>
        <v xml:space="preserve">059-232-1111  </v>
      </c>
      <c r="E1049" s="1" t="s">
        <v>115</v>
      </c>
    </row>
    <row r="1050" spans="1:5" x14ac:dyDescent="0.55000000000000004">
      <c r="A1050" s="1" t="s">
        <v>1704</v>
      </c>
      <c r="B1050" s="1" t="s">
        <v>420</v>
      </c>
      <c r="C1050" s="1" t="s">
        <v>421</v>
      </c>
      <c r="D1050" s="1" t="str">
        <f t="shared" si="39"/>
        <v xml:space="preserve">059-232-1111  </v>
      </c>
      <c r="E1050" s="1" t="s">
        <v>10</v>
      </c>
    </row>
    <row r="1051" spans="1:5" x14ac:dyDescent="0.55000000000000004">
      <c r="A1051" s="1" t="s">
        <v>1997</v>
      </c>
      <c r="B1051" s="1" t="s">
        <v>420</v>
      </c>
      <c r="C1051" s="1" t="s">
        <v>421</v>
      </c>
      <c r="D1051" s="1" t="str">
        <f t="shared" si="39"/>
        <v xml:space="preserve">059-232-1111  </v>
      </c>
      <c r="E1051" s="1" t="s">
        <v>129</v>
      </c>
    </row>
    <row r="1052" spans="1:5" x14ac:dyDescent="0.55000000000000004">
      <c r="A1052" s="1" t="s">
        <v>2009</v>
      </c>
      <c r="B1052" s="1" t="s">
        <v>420</v>
      </c>
      <c r="C1052" s="1" t="s">
        <v>421</v>
      </c>
      <c r="D1052" s="1" t="str">
        <f t="shared" si="39"/>
        <v xml:space="preserve">059-232-1111  </v>
      </c>
      <c r="E1052" s="1" t="s">
        <v>129</v>
      </c>
    </row>
    <row r="1053" spans="1:5" x14ac:dyDescent="0.55000000000000004">
      <c r="A1053" s="1" t="s">
        <v>2171</v>
      </c>
      <c r="B1053" s="1" t="s">
        <v>420</v>
      </c>
      <c r="C1053" s="1" t="s">
        <v>421</v>
      </c>
      <c r="D1053" s="1" t="str">
        <f t="shared" si="39"/>
        <v xml:space="preserve">059-232-1111  </v>
      </c>
      <c r="E1053" s="1" t="s">
        <v>35</v>
      </c>
    </row>
    <row r="1054" spans="1:5" x14ac:dyDescent="0.55000000000000004">
      <c r="A1054" s="1" t="s">
        <v>2172</v>
      </c>
      <c r="B1054" s="1" t="s">
        <v>420</v>
      </c>
      <c r="C1054" s="1" t="s">
        <v>421</v>
      </c>
      <c r="D1054" s="1" t="str">
        <f t="shared" si="39"/>
        <v xml:space="preserve">059-232-1111  </v>
      </c>
      <c r="E1054" s="1" t="s">
        <v>129</v>
      </c>
    </row>
    <row r="1055" spans="1:5" x14ac:dyDescent="0.55000000000000004">
      <c r="A1055" s="1" t="s">
        <v>3047</v>
      </c>
      <c r="B1055" s="1" t="s">
        <v>420</v>
      </c>
      <c r="C1055" s="1" t="s">
        <v>421</v>
      </c>
      <c r="D1055" s="1" t="str">
        <f t="shared" si="39"/>
        <v xml:space="preserve">059-232-1111  </v>
      </c>
      <c r="E1055" s="1" t="s">
        <v>10</v>
      </c>
    </row>
    <row r="1056" spans="1:5" x14ac:dyDescent="0.55000000000000004">
      <c r="A1056" s="1" t="s">
        <v>1733</v>
      </c>
      <c r="B1056" s="1" t="s">
        <v>420</v>
      </c>
      <c r="C1056" s="1" t="s">
        <v>421</v>
      </c>
      <c r="D1056" s="1" t="str">
        <f t="shared" si="39"/>
        <v xml:space="preserve">059-232-1111  </v>
      </c>
      <c r="E1056" s="1" t="s">
        <v>135</v>
      </c>
    </row>
    <row r="1057" spans="1:5" x14ac:dyDescent="0.55000000000000004">
      <c r="A1057" s="1" t="s">
        <v>1771</v>
      </c>
      <c r="B1057" s="1" t="s">
        <v>420</v>
      </c>
      <c r="C1057" s="1" t="s">
        <v>421</v>
      </c>
      <c r="D1057" s="1" t="str">
        <f t="shared" si="39"/>
        <v xml:space="preserve">059-232-1111  </v>
      </c>
      <c r="E1057" s="1" t="s">
        <v>81</v>
      </c>
    </row>
    <row r="1058" spans="1:5" x14ac:dyDescent="0.55000000000000004">
      <c r="A1058" s="1" t="s">
        <v>1785</v>
      </c>
      <c r="B1058" s="1" t="s">
        <v>420</v>
      </c>
      <c r="C1058" s="1" t="s">
        <v>421</v>
      </c>
      <c r="D1058" s="1" t="str">
        <f t="shared" si="39"/>
        <v xml:space="preserve">059-232-1111  </v>
      </c>
      <c r="E1058" s="1" t="s">
        <v>81</v>
      </c>
    </row>
    <row r="1059" spans="1:5" x14ac:dyDescent="0.55000000000000004">
      <c r="A1059" s="1" t="s">
        <v>2599</v>
      </c>
      <c r="B1059" s="1" t="s">
        <v>420</v>
      </c>
      <c r="C1059" s="1" t="s">
        <v>421</v>
      </c>
      <c r="D1059" s="1" t="str">
        <f t="shared" si="39"/>
        <v xml:space="preserve">059-232-1111  </v>
      </c>
      <c r="E1059" s="1" t="s">
        <v>34</v>
      </c>
    </row>
    <row r="1060" spans="1:5" x14ac:dyDescent="0.55000000000000004">
      <c r="A1060" s="1" t="s">
        <v>2600</v>
      </c>
      <c r="B1060" s="1" t="s">
        <v>420</v>
      </c>
      <c r="C1060" s="1" t="s">
        <v>421</v>
      </c>
      <c r="D1060" s="1" t="str">
        <f t="shared" si="39"/>
        <v xml:space="preserve">059-232-1111  </v>
      </c>
      <c r="E1060" s="1" t="s">
        <v>34</v>
      </c>
    </row>
    <row r="1061" spans="1:5" x14ac:dyDescent="0.55000000000000004">
      <c r="A1061" s="1" t="s">
        <v>2608</v>
      </c>
      <c r="B1061" s="1" t="s">
        <v>420</v>
      </c>
      <c r="C1061" s="1" t="s">
        <v>421</v>
      </c>
      <c r="D1061" s="1" t="str">
        <f t="shared" si="39"/>
        <v xml:space="preserve">059-232-1111  </v>
      </c>
      <c r="E1061" s="1" t="s">
        <v>131</v>
      </c>
    </row>
    <row r="1062" spans="1:5" x14ac:dyDescent="0.55000000000000004">
      <c r="A1062" s="1" t="s">
        <v>2613</v>
      </c>
      <c r="B1062" s="1" t="s">
        <v>420</v>
      </c>
      <c r="C1062" s="1" t="s">
        <v>421</v>
      </c>
      <c r="D1062" s="1" t="str">
        <f t="shared" si="39"/>
        <v xml:space="preserve">059-232-1111  </v>
      </c>
      <c r="E1062" s="1" t="s">
        <v>2336</v>
      </c>
    </row>
    <row r="1063" spans="1:5" x14ac:dyDescent="0.55000000000000004">
      <c r="A1063" s="1" t="s">
        <v>2614</v>
      </c>
      <c r="B1063" s="1" t="s">
        <v>420</v>
      </c>
      <c r="C1063" s="1" t="s">
        <v>421</v>
      </c>
      <c r="D1063" s="1" t="str">
        <f t="shared" si="39"/>
        <v xml:space="preserve">059-232-1111  </v>
      </c>
      <c r="E1063" s="1" t="s">
        <v>2336</v>
      </c>
    </row>
    <row r="1064" spans="1:5" x14ac:dyDescent="0.55000000000000004">
      <c r="A1064" s="1" t="s">
        <v>2624</v>
      </c>
      <c r="B1064" s="1" t="s">
        <v>420</v>
      </c>
      <c r="C1064" s="1" t="s">
        <v>421</v>
      </c>
      <c r="D1064" s="1" t="str">
        <f t="shared" si="39"/>
        <v xml:space="preserve">059-232-1111  </v>
      </c>
      <c r="E1064" s="1" t="s">
        <v>10</v>
      </c>
    </row>
    <row r="1065" spans="1:5" x14ac:dyDescent="0.55000000000000004">
      <c r="A1065" s="1" t="s">
        <v>1685</v>
      </c>
      <c r="B1065" s="1" t="s">
        <v>420</v>
      </c>
      <c r="C1065" s="1" t="s">
        <v>421</v>
      </c>
      <c r="D1065" s="1" t="str">
        <f t="shared" si="39"/>
        <v xml:space="preserve">059-232-1111  </v>
      </c>
      <c r="E1065" s="1" t="s">
        <v>126</v>
      </c>
    </row>
    <row r="1066" spans="1:5" x14ac:dyDescent="0.55000000000000004">
      <c r="A1066" s="1" t="s">
        <v>1727</v>
      </c>
      <c r="B1066" s="1" t="s">
        <v>420</v>
      </c>
      <c r="C1066" s="1" t="s">
        <v>421</v>
      </c>
      <c r="D1066" s="1" t="str">
        <f t="shared" si="39"/>
        <v xml:space="preserve">059-232-1111  </v>
      </c>
      <c r="E1066" s="1" t="s">
        <v>981</v>
      </c>
    </row>
    <row r="1067" spans="1:5" x14ac:dyDescent="0.55000000000000004">
      <c r="A1067" s="1" t="s">
        <v>118</v>
      </c>
      <c r="B1067" s="1" t="s">
        <v>420</v>
      </c>
      <c r="C1067" s="1" t="s">
        <v>421</v>
      </c>
      <c r="D1067" s="1" t="str">
        <f t="shared" si="39"/>
        <v xml:space="preserve">059-232-1111  </v>
      </c>
      <c r="E1067" s="1" t="s">
        <v>1361</v>
      </c>
    </row>
    <row r="1068" spans="1:5" x14ac:dyDescent="0.55000000000000004">
      <c r="A1068" s="1" t="s">
        <v>1407</v>
      </c>
      <c r="B1068" s="1" t="s">
        <v>420</v>
      </c>
      <c r="C1068" s="1" t="s">
        <v>421</v>
      </c>
      <c r="D1068" s="1" t="str">
        <f t="shared" ref="D1068:D1091" si="40">"059-232-1111  "</f>
        <v xml:space="preserve">059-232-1111  </v>
      </c>
      <c r="E1068" s="1" t="s">
        <v>131</v>
      </c>
    </row>
    <row r="1069" spans="1:5" x14ac:dyDescent="0.55000000000000004">
      <c r="A1069" s="1" t="s">
        <v>1999</v>
      </c>
      <c r="B1069" s="1" t="s">
        <v>420</v>
      </c>
      <c r="C1069" s="1" t="s">
        <v>421</v>
      </c>
      <c r="D1069" s="1" t="str">
        <f t="shared" si="40"/>
        <v xml:space="preserve">059-232-1111  </v>
      </c>
      <c r="E1069" s="1" t="s">
        <v>126</v>
      </c>
    </row>
    <row r="1070" spans="1:5" x14ac:dyDescent="0.55000000000000004">
      <c r="A1070" s="1" t="s">
        <v>2212</v>
      </c>
      <c r="B1070" s="1" t="s">
        <v>420</v>
      </c>
      <c r="C1070" s="1" t="s">
        <v>421</v>
      </c>
      <c r="D1070" s="1" t="str">
        <f t="shared" si="40"/>
        <v xml:space="preserve">059-232-1111  </v>
      </c>
      <c r="E1070" s="1" t="s">
        <v>135</v>
      </c>
    </row>
    <row r="1071" spans="1:5" x14ac:dyDescent="0.55000000000000004">
      <c r="A1071" s="1" t="s">
        <v>25</v>
      </c>
      <c r="B1071" s="1" t="s">
        <v>420</v>
      </c>
      <c r="C1071" s="1" t="s">
        <v>421</v>
      </c>
      <c r="D1071" s="1" t="str">
        <f t="shared" si="40"/>
        <v xml:space="preserve">059-232-1111  </v>
      </c>
      <c r="E1071" s="1" t="s">
        <v>981</v>
      </c>
    </row>
    <row r="1072" spans="1:5" x14ac:dyDescent="0.55000000000000004">
      <c r="A1072" s="1" t="s">
        <v>2643</v>
      </c>
      <c r="B1072" s="1" t="s">
        <v>420</v>
      </c>
      <c r="C1072" s="1" t="s">
        <v>421</v>
      </c>
      <c r="D1072" s="1" t="str">
        <f t="shared" si="40"/>
        <v xml:space="preserve">059-232-1111  </v>
      </c>
      <c r="E1072" s="1" t="s">
        <v>81</v>
      </c>
    </row>
    <row r="1073" spans="1:5" x14ac:dyDescent="0.55000000000000004">
      <c r="A1073" s="1" t="s">
        <v>1816</v>
      </c>
      <c r="B1073" s="1" t="s">
        <v>420</v>
      </c>
      <c r="C1073" s="1" t="s">
        <v>421</v>
      </c>
      <c r="D1073" s="1" t="str">
        <f t="shared" si="40"/>
        <v xml:space="preserve">059-232-1111  </v>
      </c>
      <c r="E1073" s="1" t="s">
        <v>1817</v>
      </c>
    </row>
    <row r="1074" spans="1:5" x14ac:dyDescent="0.55000000000000004">
      <c r="A1074" s="1" t="s">
        <v>1818</v>
      </c>
      <c r="B1074" s="1" t="s">
        <v>420</v>
      </c>
      <c r="C1074" s="1" t="s">
        <v>421</v>
      </c>
      <c r="D1074" s="1" t="str">
        <f t="shared" si="40"/>
        <v xml:space="preserve">059-232-1111  </v>
      </c>
      <c r="E1074" s="1" t="s">
        <v>1590</v>
      </c>
    </row>
    <row r="1075" spans="1:5" x14ac:dyDescent="0.55000000000000004">
      <c r="A1075" s="1" t="s">
        <v>1819</v>
      </c>
      <c r="B1075" s="1" t="s">
        <v>420</v>
      </c>
      <c r="C1075" s="1" t="s">
        <v>421</v>
      </c>
      <c r="D1075" s="1" t="str">
        <f t="shared" si="40"/>
        <v xml:space="preserve">059-232-1111  </v>
      </c>
      <c r="E1075" s="1" t="s">
        <v>1590</v>
      </c>
    </row>
    <row r="1076" spans="1:5" x14ac:dyDescent="0.55000000000000004">
      <c r="A1076" s="1" t="s">
        <v>2228</v>
      </c>
      <c r="B1076" s="1" t="s">
        <v>420</v>
      </c>
      <c r="C1076" s="1" t="s">
        <v>421</v>
      </c>
      <c r="D1076" s="1" t="str">
        <f t="shared" si="40"/>
        <v xml:space="preserve">059-232-1111  </v>
      </c>
      <c r="E1076" s="1" t="s">
        <v>129</v>
      </c>
    </row>
    <row r="1077" spans="1:5" x14ac:dyDescent="0.55000000000000004">
      <c r="A1077" s="1" t="s">
        <v>2229</v>
      </c>
      <c r="B1077" s="1" t="s">
        <v>420</v>
      </c>
      <c r="C1077" s="1" t="s">
        <v>421</v>
      </c>
      <c r="D1077" s="1" t="str">
        <f t="shared" si="40"/>
        <v xml:space="preserve">059-232-1111  </v>
      </c>
      <c r="E1077" s="1" t="s">
        <v>865</v>
      </c>
    </row>
    <row r="1078" spans="1:5" x14ac:dyDescent="0.55000000000000004">
      <c r="A1078" s="1" t="s">
        <v>2664</v>
      </c>
      <c r="B1078" s="1" t="s">
        <v>420</v>
      </c>
      <c r="C1078" s="1" t="s">
        <v>421</v>
      </c>
      <c r="D1078" s="1" t="str">
        <f t="shared" si="40"/>
        <v xml:space="preserve">059-232-1111  </v>
      </c>
      <c r="E1078" s="1" t="s">
        <v>10</v>
      </c>
    </row>
    <row r="1079" spans="1:5" x14ac:dyDescent="0.55000000000000004">
      <c r="A1079" s="1" t="s">
        <v>1874</v>
      </c>
      <c r="B1079" s="1" t="s">
        <v>420</v>
      </c>
      <c r="C1079" s="1" t="s">
        <v>421</v>
      </c>
      <c r="D1079" s="1" t="str">
        <f t="shared" si="40"/>
        <v xml:space="preserve">059-232-1111  </v>
      </c>
      <c r="E1079" s="1" t="s">
        <v>6</v>
      </c>
    </row>
    <row r="1080" spans="1:5" x14ac:dyDescent="0.55000000000000004">
      <c r="A1080" s="1" t="s">
        <v>1465</v>
      </c>
      <c r="B1080" s="1" t="s">
        <v>420</v>
      </c>
      <c r="C1080" s="1" t="s">
        <v>421</v>
      </c>
      <c r="D1080" s="1" t="str">
        <f t="shared" si="40"/>
        <v xml:space="preserve">059-232-1111  </v>
      </c>
      <c r="E1080" s="1" t="s">
        <v>126</v>
      </c>
    </row>
    <row r="1081" spans="1:5" x14ac:dyDescent="0.55000000000000004">
      <c r="A1081" s="1" t="s">
        <v>2674</v>
      </c>
      <c r="B1081" s="1" t="s">
        <v>420</v>
      </c>
      <c r="C1081" s="1" t="s">
        <v>421</v>
      </c>
      <c r="D1081" s="1" t="str">
        <f t="shared" si="40"/>
        <v xml:space="preserve">059-232-1111  </v>
      </c>
      <c r="E1081" s="1" t="s">
        <v>81</v>
      </c>
    </row>
    <row r="1082" spans="1:5" x14ac:dyDescent="0.55000000000000004">
      <c r="A1082" s="1" t="s">
        <v>3063</v>
      </c>
      <c r="B1082" s="1" t="s">
        <v>420</v>
      </c>
      <c r="C1082" s="1" t="s">
        <v>421</v>
      </c>
      <c r="D1082" s="1" t="str">
        <f t="shared" si="40"/>
        <v xml:space="preserve">059-232-1111  </v>
      </c>
      <c r="E1082" s="1" t="s">
        <v>35</v>
      </c>
    </row>
    <row r="1083" spans="1:5" x14ac:dyDescent="0.55000000000000004">
      <c r="A1083" s="1" t="s">
        <v>2962</v>
      </c>
      <c r="B1083" s="1" t="s">
        <v>420</v>
      </c>
      <c r="C1083" s="1" t="s">
        <v>421</v>
      </c>
      <c r="D1083" s="1" t="str">
        <f t="shared" si="40"/>
        <v xml:space="preserve">059-232-1111  </v>
      </c>
      <c r="E1083" s="1" t="s">
        <v>10</v>
      </c>
    </row>
    <row r="1084" spans="1:5" x14ac:dyDescent="0.55000000000000004">
      <c r="A1084" s="1" t="s">
        <v>2687</v>
      </c>
      <c r="B1084" s="1" t="s">
        <v>420</v>
      </c>
      <c r="C1084" s="1" t="s">
        <v>421</v>
      </c>
      <c r="D1084" s="1" t="str">
        <f t="shared" si="40"/>
        <v xml:space="preserve">059-232-1111  </v>
      </c>
      <c r="E1084" s="1" t="s">
        <v>35</v>
      </c>
    </row>
    <row r="1085" spans="1:5" x14ac:dyDescent="0.55000000000000004">
      <c r="A1085" s="1" t="s">
        <v>2691</v>
      </c>
      <c r="B1085" s="1" t="s">
        <v>420</v>
      </c>
      <c r="C1085" s="1" t="s">
        <v>421</v>
      </c>
      <c r="D1085" s="1" t="str">
        <f t="shared" si="40"/>
        <v xml:space="preserve">059-232-1111  </v>
      </c>
      <c r="E1085" s="1" t="s">
        <v>2094</v>
      </c>
    </row>
    <row r="1086" spans="1:5" x14ac:dyDescent="0.55000000000000004">
      <c r="A1086" s="1" t="s">
        <v>2695</v>
      </c>
      <c r="B1086" s="1" t="s">
        <v>420</v>
      </c>
      <c r="C1086" s="1" t="s">
        <v>421</v>
      </c>
      <c r="D1086" s="1" t="str">
        <f t="shared" si="40"/>
        <v xml:space="preserve">059-232-1111  </v>
      </c>
      <c r="E1086" s="1" t="s">
        <v>129</v>
      </c>
    </row>
    <row r="1087" spans="1:5" x14ac:dyDescent="0.55000000000000004">
      <c r="A1087" s="1" t="s">
        <v>2251</v>
      </c>
      <c r="B1087" s="1" t="s">
        <v>420</v>
      </c>
      <c r="C1087" s="1" t="s">
        <v>421</v>
      </c>
      <c r="D1087" s="1" t="str">
        <f t="shared" si="40"/>
        <v xml:space="preserve">059-232-1111  </v>
      </c>
      <c r="E1087" s="1" t="s">
        <v>135</v>
      </c>
    </row>
    <row r="1088" spans="1:5" x14ac:dyDescent="0.55000000000000004">
      <c r="A1088" s="1" t="s">
        <v>2967</v>
      </c>
      <c r="B1088" s="1" t="s">
        <v>420</v>
      </c>
      <c r="C1088" s="1" t="s">
        <v>421</v>
      </c>
      <c r="D1088" s="1" t="str">
        <f t="shared" si="40"/>
        <v xml:space="preserve">059-232-1111  </v>
      </c>
      <c r="E1088" s="1" t="s">
        <v>10</v>
      </c>
    </row>
    <row r="1089" spans="1:5" x14ac:dyDescent="0.55000000000000004">
      <c r="A1089" s="1" t="s">
        <v>1938</v>
      </c>
      <c r="B1089" s="1" t="s">
        <v>420</v>
      </c>
      <c r="C1089" s="1" t="s">
        <v>421</v>
      </c>
      <c r="D1089" s="1" t="str">
        <f t="shared" si="40"/>
        <v xml:space="preserve">059-232-1111  </v>
      </c>
      <c r="E1089" s="1" t="s">
        <v>131</v>
      </c>
    </row>
    <row r="1090" spans="1:5" x14ac:dyDescent="0.55000000000000004">
      <c r="A1090" s="1" t="s">
        <v>2367</v>
      </c>
      <c r="B1090" s="1" t="s">
        <v>420</v>
      </c>
      <c r="C1090" s="1" t="s">
        <v>421</v>
      </c>
      <c r="D1090" s="1" t="str">
        <f t="shared" si="40"/>
        <v xml:space="preserve">059-232-1111  </v>
      </c>
      <c r="E1090" s="1" t="s">
        <v>216</v>
      </c>
    </row>
    <row r="1091" spans="1:5" x14ac:dyDescent="0.55000000000000004">
      <c r="A1091" s="1" t="s">
        <v>2373</v>
      </c>
      <c r="B1091" s="1" t="s">
        <v>420</v>
      </c>
      <c r="C1091" s="1" t="s">
        <v>421</v>
      </c>
      <c r="D1091" s="1" t="str">
        <f t="shared" si="40"/>
        <v xml:space="preserve">059-232-1111  </v>
      </c>
      <c r="E1091" s="1" t="s">
        <v>131</v>
      </c>
    </row>
    <row r="1092" spans="1:5" x14ac:dyDescent="0.55000000000000004">
      <c r="A1092" s="1" t="s">
        <v>1802</v>
      </c>
      <c r="B1092" s="1" t="s">
        <v>1803</v>
      </c>
      <c r="C1092" s="1" t="s">
        <v>1804</v>
      </c>
      <c r="D1092" s="1" t="str">
        <f>"059-228-3602  "</f>
        <v xml:space="preserve">059-228-3602  </v>
      </c>
      <c r="E1092" s="1" t="s">
        <v>34</v>
      </c>
    </row>
    <row r="1093" spans="1:5" x14ac:dyDescent="0.55000000000000004">
      <c r="A1093" s="1" t="s">
        <v>1864</v>
      </c>
      <c r="B1093" s="1" t="s">
        <v>1865</v>
      </c>
      <c r="C1093" s="1" t="s">
        <v>1866</v>
      </c>
      <c r="D1093" s="1" t="str">
        <f>"059-226-2020  "</f>
        <v xml:space="preserve">059-226-2020  </v>
      </c>
      <c r="E1093" s="1" t="s">
        <v>34</v>
      </c>
    </row>
    <row r="1094" spans="1:5" x14ac:dyDescent="0.55000000000000004">
      <c r="A1094" s="1" t="s">
        <v>1893</v>
      </c>
      <c r="B1094" s="1" t="s">
        <v>1894</v>
      </c>
      <c r="C1094" s="1" t="s">
        <v>2660</v>
      </c>
      <c r="D1094" s="1" t="str">
        <f>"059-226-7770  "</f>
        <v xml:space="preserve">059-226-7770  </v>
      </c>
      <c r="E1094" s="1" t="s">
        <v>6</v>
      </c>
    </row>
    <row r="1095" spans="1:5" x14ac:dyDescent="0.55000000000000004">
      <c r="A1095" s="1" t="s">
        <v>1996</v>
      </c>
      <c r="B1095" s="1" t="s">
        <v>877</v>
      </c>
      <c r="C1095" s="1" t="s">
        <v>878</v>
      </c>
      <c r="D1095" s="1" t="str">
        <f>"059-252-1111  "</f>
        <v xml:space="preserve">059-252-1111  </v>
      </c>
      <c r="E1095" s="1" t="s">
        <v>277</v>
      </c>
    </row>
    <row r="1096" spans="1:5" x14ac:dyDescent="0.55000000000000004">
      <c r="A1096" s="1" t="s">
        <v>876</v>
      </c>
      <c r="B1096" s="1" t="s">
        <v>877</v>
      </c>
      <c r="C1096" s="1" t="s">
        <v>878</v>
      </c>
      <c r="D1096" s="1" t="str">
        <f>"059-252-1111  "</f>
        <v xml:space="preserve">059-252-1111  </v>
      </c>
      <c r="E1096" s="1" t="s">
        <v>6</v>
      </c>
    </row>
    <row r="1097" spans="1:5" x14ac:dyDescent="0.55000000000000004">
      <c r="A1097" s="1" t="s">
        <v>982</v>
      </c>
      <c r="B1097" s="1" t="s">
        <v>877</v>
      </c>
      <c r="C1097" s="1" t="s">
        <v>878</v>
      </c>
      <c r="D1097" s="1" t="str">
        <f>"059-252-1111  "</f>
        <v xml:space="preserve">059-252-1111  </v>
      </c>
      <c r="E1097" s="1" t="s">
        <v>6</v>
      </c>
    </row>
    <row r="1098" spans="1:5" x14ac:dyDescent="0.55000000000000004">
      <c r="A1098" s="1" t="s">
        <v>983</v>
      </c>
      <c r="B1098" s="1" t="s">
        <v>877</v>
      </c>
      <c r="C1098" s="1" t="s">
        <v>878</v>
      </c>
      <c r="D1098" s="1" t="str">
        <f>"059-252-1111  "</f>
        <v xml:space="preserve">059-252-1111  </v>
      </c>
      <c r="E1098" s="1" t="s">
        <v>6</v>
      </c>
    </row>
    <row r="1099" spans="1:5" x14ac:dyDescent="0.55000000000000004">
      <c r="A1099" s="1" t="s">
        <v>2181</v>
      </c>
      <c r="B1099" s="1" t="s">
        <v>877</v>
      </c>
      <c r="C1099" s="1" t="s">
        <v>878</v>
      </c>
      <c r="D1099" s="1" t="str">
        <f>"059-252-1111  "</f>
        <v xml:space="preserve">059-252-1111  </v>
      </c>
      <c r="E1099" s="1" t="s">
        <v>6</v>
      </c>
    </row>
    <row r="1100" spans="1:5" x14ac:dyDescent="0.55000000000000004">
      <c r="A1100" s="1" t="s">
        <v>573</v>
      </c>
      <c r="B1100" s="1" t="s">
        <v>574</v>
      </c>
      <c r="C1100" s="1" t="str">
        <f>"津市雲出本郷町1400-1"</f>
        <v>津市雲出本郷町1400-1</v>
      </c>
      <c r="D1100" s="1" t="str">
        <f>"059-234-3838  "</f>
        <v xml:space="preserve">059-234-3838  </v>
      </c>
      <c r="E1100" s="1" t="s">
        <v>215</v>
      </c>
    </row>
    <row r="1101" spans="1:5" x14ac:dyDescent="0.55000000000000004">
      <c r="A1101" s="1" t="s">
        <v>1250</v>
      </c>
      <c r="B1101" s="1" t="s">
        <v>1251</v>
      </c>
      <c r="C1101" s="1" t="s">
        <v>1252</v>
      </c>
      <c r="D1101" s="1" t="str">
        <f>"059-273-6701  "</f>
        <v xml:space="preserve">059-273-6701  </v>
      </c>
      <c r="E1101" s="1"/>
    </row>
    <row r="1102" spans="1:5" x14ac:dyDescent="0.55000000000000004">
      <c r="A1102" s="1" t="s">
        <v>2408</v>
      </c>
      <c r="B1102" s="1" t="s">
        <v>1408</v>
      </c>
      <c r="C1102" s="1" t="s">
        <v>1409</v>
      </c>
      <c r="D1102" s="1" t="str">
        <f>"059-235-2125  "</f>
        <v xml:space="preserve">059-235-2125  </v>
      </c>
      <c r="E1102" s="1" t="s">
        <v>65</v>
      </c>
    </row>
    <row r="1103" spans="1:5" x14ac:dyDescent="0.55000000000000004">
      <c r="A1103" s="1" t="s">
        <v>1860</v>
      </c>
      <c r="B1103" s="1" t="s">
        <v>1408</v>
      </c>
      <c r="C1103" s="1" t="s">
        <v>1409</v>
      </c>
      <c r="D1103" s="1" t="str">
        <f>"059-235-2125  "</f>
        <v xml:space="preserve">059-235-2125  </v>
      </c>
      <c r="E1103" s="1" t="s">
        <v>65</v>
      </c>
    </row>
    <row r="1104" spans="1:5" x14ac:dyDescent="0.55000000000000004">
      <c r="A1104" s="1" t="s">
        <v>2682</v>
      </c>
      <c r="B1104" s="1" t="s">
        <v>1408</v>
      </c>
      <c r="C1104" s="1" t="s">
        <v>1409</v>
      </c>
      <c r="D1104" s="1" t="str">
        <f>"059-235-2125  "</f>
        <v xml:space="preserve">059-235-2125  </v>
      </c>
      <c r="E1104" s="1" t="s">
        <v>65</v>
      </c>
    </row>
    <row r="1105" spans="1:5" x14ac:dyDescent="0.55000000000000004">
      <c r="A1105" s="1" t="s">
        <v>827</v>
      </c>
      <c r="B1105" s="1" t="s">
        <v>95</v>
      </c>
      <c r="C1105" s="1" t="s">
        <v>96</v>
      </c>
      <c r="D1105" s="1" t="str">
        <f>"059-262-0600  "</f>
        <v xml:space="preserve">059-262-0600  </v>
      </c>
      <c r="E1105" s="1" t="s">
        <v>6</v>
      </c>
    </row>
    <row r="1106" spans="1:5" x14ac:dyDescent="0.55000000000000004">
      <c r="A1106" s="1" t="s">
        <v>991</v>
      </c>
      <c r="B1106" s="1" t="s">
        <v>920</v>
      </c>
      <c r="C1106" s="1" t="s">
        <v>921</v>
      </c>
      <c r="D1106" s="1" t="str">
        <f>"059-253-2000  "</f>
        <v xml:space="preserve">059-253-2000  </v>
      </c>
      <c r="E1106" s="1" t="s">
        <v>14</v>
      </c>
    </row>
    <row r="1107" spans="1:5" x14ac:dyDescent="0.55000000000000004">
      <c r="A1107" s="1" t="s">
        <v>2322</v>
      </c>
      <c r="B1107" s="1" t="s">
        <v>2323</v>
      </c>
      <c r="C1107" s="1" t="s">
        <v>2324</v>
      </c>
      <c r="D1107" s="1" t="str">
        <f>"059-264-7775  "</f>
        <v xml:space="preserve">059-264-7775  </v>
      </c>
      <c r="E1107" s="1" t="s">
        <v>1089</v>
      </c>
    </row>
    <row r="1108" spans="1:5" x14ac:dyDescent="0.55000000000000004">
      <c r="A1108" s="1" t="s">
        <v>2144</v>
      </c>
      <c r="B1108" s="1" t="s">
        <v>263</v>
      </c>
      <c r="C1108" s="1" t="str">
        <f>"津市岩田1-5"</f>
        <v>津市岩田1-5</v>
      </c>
      <c r="D1108" s="1" t="str">
        <f>"059-226-2243  "</f>
        <v xml:space="preserve">059-226-2243  </v>
      </c>
      <c r="E1108" s="1" t="s">
        <v>34</v>
      </c>
    </row>
    <row r="1109" spans="1:5" x14ac:dyDescent="0.55000000000000004">
      <c r="A1109" s="1" t="s">
        <v>794</v>
      </c>
      <c r="B1109" s="1" t="s">
        <v>795</v>
      </c>
      <c r="C1109" s="1" t="str">
        <f>"津市野田778-1"</f>
        <v>津市野田778-1</v>
      </c>
      <c r="D1109" s="1" t="str">
        <f>"059-237-3378  "</f>
        <v xml:space="preserve">059-237-3378  </v>
      </c>
      <c r="E1109" s="1" t="s">
        <v>796</v>
      </c>
    </row>
    <row r="1110" spans="1:5" x14ac:dyDescent="0.55000000000000004">
      <c r="A1110" s="1" t="s">
        <v>947</v>
      </c>
      <c r="B1110" s="1" t="s">
        <v>948</v>
      </c>
      <c r="C1110" s="1" t="str">
        <f>"津市乙部5-3　フェニックスメディカルセンタービル内"</f>
        <v>津市乙部5-3　フェニックスメディカルセンタービル内</v>
      </c>
      <c r="D1110" s="1" t="str">
        <f>"059-227-5585  "</f>
        <v xml:space="preserve">059-227-5585  </v>
      </c>
      <c r="E1110" s="1" t="s">
        <v>34</v>
      </c>
    </row>
    <row r="1111" spans="1:5" x14ac:dyDescent="0.55000000000000004">
      <c r="A1111" s="1" t="s">
        <v>539</v>
      </c>
      <c r="B1111" s="1" t="s">
        <v>540</v>
      </c>
      <c r="C1111" s="1" t="str">
        <f>"津市一身田上津部田1504-16"</f>
        <v>津市一身田上津部田1504-16</v>
      </c>
      <c r="D1111" s="1" t="str">
        <f>"059-231-2121  "</f>
        <v xml:space="preserve">059-231-2121  </v>
      </c>
      <c r="E1111" s="1" t="s">
        <v>135</v>
      </c>
    </row>
    <row r="1112" spans="1:5" x14ac:dyDescent="0.55000000000000004">
      <c r="A1112" s="1" t="s">
        <v>2531</v>
      </c>
      <c r="B1112" s="1" t="s">
        <v>102</v>
      </c>
      <c r="C1112" s="1" t="s">
        <v>103</v>
      </c>
      <c r="D1112" s="1" t="str">
        <f>"059-254-0300  "</f>
        <v xml:space="preserve">059-254-0300  </v>
      </c>
      <c r="E1112" s="1" t="s">
        <v>29</v>
      </c>
    </row>
    <row r="1113" spans="1:5" x14ac:dyDescent="0.55000000000000004">
      <c r="A1113" s="1" t="s">
        <v>353</v>
      </c>
      <c r="B1113" s="1" t="s">
        <v>354</v>
      </c>
      <c r="C1113" s="1" t="s">
        <v>355</v>
      </c>
      <c r="D1113" s="1" t="str">
        <f>"059-225-1878  "</f>
        <v xml:space="preserve">059-225-1878  </v>
      </c>
      <c r="E1113" s="1" t="s">
        <v>215</v>
      </c>
    </row>
    <row r="1114" spans="1:5" x14ac:dyDescent="0.55000000000000004">
      <c r="A1114" s="1" t="s">
        <v>1144</v>
      </c>
      <c r="B1114" s="1" t="s">
        <v>1145</v>
      </c>
      <c r="C1114" s="1" t="str">
        <f>"津市大園町4-29"</f>
        <v>津市大園町4-29</v>
      </c>
      <c r="D1114" s="1" t="str">
        <f>"059-222-5111  "</f>
        <v xml:space="preserve">059-222-5111  </v>
      </c>
      <c r="E1114" s="1" t="s">
        <v>14</v>
      </c>
    </row>
    <row r="1115" spans="1:5" x14ac:dyDescent="0.55000000000000004">
      <c r="A1115" s="1" t="s">
        <v>411</v>
      </c>
      <c r="B1115" s="1" t="s">
        <v>1145</v>
      </c>
      <c r="C1115" s="1" t="str">
        <f>"津市大園町4-29"</f>
        <v>津市大園町4-29</v>
      </c>
      <c r="D1115" s="1" t="str">
        <f>"059-222-5111  "</f>
        <v xml:space="preserve">059-222-5111  </v>
      </c>
      <c r="E1115" s="1" t="s">
        <v>14</v>
      </c>
    </row>
    <row r="1116" spans="1:5" x14ac:dyDescent="0.55000000000000004">
      <c r="A1116" s="1" t="s">
        <v>180</v>
      </c>
      <c r="B1116" s="1" t="s">
        <v>181</v>
      </c>
      <c r="C1116" s="1" t="str">
        <f>"津市一身田上津部田1336-8"</f>
        <v>津市一身田上津部田1336-8</v>
      </c>
      <c r="D1116" s="1" t="str">
        <f>"059-222-7070  "</f>
        <v xml:space="preserve">059-222-7070  </v>
      </c>
      <c r="E1116" s="1" t="s">
        <v>34</v>
      </c>
    </row>
    <row r="1117" spans="1:5" x14ac:dyDescent="0.55000000000000004">
      <c r="A1117" s="1" t="s">
        <v>2467</v>
      </c>
      <c r="B1117" s="1" t="s">
        <v>2270</v>
      </c>
      <c r="C1117" s="1" t="str">
        <f>"津市新町3丁目6-22"</f>
        <v>津市新町3丁目6-22</v>
      </c>
      <c r="D1117" s="1" t="str">
        <f>"059-223-4645  "</f>
        <v xml:space="preserve">059-223-4645  </v>
      </c>
      <c r="E1117" s="1" t="s">
        <v>10</v>
      </c>
    </row>
    <row r="1118" spans="1:5" x14ac:dyDescent="0.55000000000000004">
      <c r="A1118" s="1" t="s">
        <v>2269</v>
      </c>
      <c r="B1118" s="1" t="s">
        <v>2270</v>
      </c>
      <c r="C1118" s="1" t="str">
        <f>"津市新町3-6-22"</f>
        <v>津市新町3-6-22</v>
      </c>
      <c r="D1118" s="1" t="str">
        <f>"059-223-4645  "</f>
        <v xml:space="preserve">059-223-4645  </v>
      </c>
      <c r="E1118" s="1" t="s">
        <v>224</v>
      </c>
    </row>
    <row r="1119" spans="1:5" x14ac:dyDescent="0.55000000000000004">
      <c r="A1119" s="1" t="s">
        <v>1293</v>
      </c>
      <c r="B1119" s="1" t="s">
        <v>1294</v>
      </c>
      <c r="C1119" s="1" t="s">
        <v>1295</v>
      </c>
      <c r="D1119" s="1" t="str">
        <f>"059-223-4645  "</f>
        <v xml:space="preserve">059-223-4645  </v>
      </c>
      <c r="E1119" s="1" t="s">
        <v>1296</v>
      </c>
    </row>
    <row r="1120" spans="1:5" x14ac:dyDescent="0.55000000000000004">
      <c r="A1120" s="1" t="s">
        <v>636</v>
      </c>
      <c r="B1120" s="1" t="s">
        <v>637</v>
      </c>
      <c r="C1120" s="1" t="s">
        <v>638</v>
      </c>
      <c r="D1120" s="1" t="str">
        <f>"059-233-6800  "</f>
        <v xml:space="preserve">059-233-6800  </v>
      </c>
      <c r="E1120" s="1" t="s">
        <v>639</v>
      </c>
    </row>
    <row r="1121" spans="1:5" x14ac:dyDescent="0.55000000000000004">
      <c r="A1121" s="1" t="s">
        <v>3028</v>
      </c>
      <c r="B1121" s="1" t="s">
        <v>3029</v>
      </c>
      <c r="C1121" s="1" t="str">
        <f>"津市久居野村町600-21"</f>
        <v>津市久居野村町600-21</v>
      </c>
      <c r="D1121" s="1" t="str">
        <f>"059-255-1115  "</f>
        <v xml:space="preserve">059-255-1115  </v>
      </c>
      <c r="E1121" s="1" t="s">
        <v>6</v>
      </c>
    </row>
    <row r="1122" spans="1:5" x14ac:dyDescent="0.55000000000000004">
      <c r="A1122" s="1" t="s">
        <v>1962</v>
      </c>
      <c r="B1122" s="1" t="s">
        <v>1963</v>
      </c>
      <c r="C1122" s="1" t="str">
        <f>"津市野田33-1"</f>
        <v>津市野田33-1</v>
      </c>
      <c r="D1122" s="1" t="str">
        <f>"059-239-0200  "</f>
        <v xml:space="preserve">059-239-0200  </v>
      </c>
      <c r="E1122" s="1" t="s">
        <v>69</v>
      </c>
    </row>
    <row r="1123" spans="1:5" x14ac:dyDescent="0.55000000000000004">
      <c r="A1123" s="1" t="s">
        <v>571</v>
      </c>
      <c r="B1123" s="1" t="s">
        <v>572</v>
      </c>
      <c r="C1123" s="1" t="str">
        <f>"津市半田3431-5"</f>
        <v>津市半田3431-5</v>
      </c>
      <c r="D1123" s="1" t="str">
        <f>"059-225-2597  "</f>
        <v xml:space="preserve">059-225-2597  </v>
      </c>
      <c r="E1123" s="1" t="s">
        <v>233</v>
      </c>
    </row>
    <row r="1124" spans="1:5" x14ac:dyDescent="0.55000000000000004">
      <c r="A1124" s="1" t="s">
        <v>1609</v>
      </c>
      <c r="B1124" s="1" t="s">
        <v>1610</v>
      </c>
      <c r="C1124" s="1" t="s">
        <v>1611</v>
      </c>
      <c r="D1124" s="1" t="str">
        <f>"059-226-5525  "</f>
        <v xml:space="preserve">059-226-5525  </v>
      </c>
      <c r="E1124" s="1" t="s">
        <v>23</v>
      </c>
    </row>
    <row r="1125" spans="1:5" x14ac:dyDescent="0.55000000000000004">
      <c r="A1125" s="1" t="s">
        <v>1658</v>
      </c>
      <c r="B1125" s="1" t="s">
        <v>1610</v>
      </c>
      <c r="C1125" s="1" t="s">
        <v>1611</v>
      </c>
      <c r="D1125" s="1" t="str">
        <f>"059-226-5525  "</f>
        <v xml:space="preserve">059-226-5525  </v>
      </c>
      <c r="E1125" s="1" t="s">
        <v>14</v>
      </c>
    </row>
    <row r="1126" spans="1:5" x14ac:dyDescent="0.55000000000000004">
      <c r="A1126" s="1" t="s">
        <v>2612</v>
      </c>
      <c r="B1126" s="1" t="s">
        <v>1610</v>
      </c>
      <c r="C1126" s="1" t="s">
        <v>1611</v>
      </c>
      <c r="D1126" s="1" t="str">
        <f>"059-226-5525  "</f>
        <v xml:space="preserve">059-226-5525  </v>
      </c>
      <c r="E1126" s="1" t="s">
        <v>6</v>
      </c>
    </row>
    <row r="1127" spans="1:5" x14ac:dyDescent="0.55000000000000004">
      <c r="A1127" s="1" t="s">
        <v>673</v>
      </c>
      <c r="B1127" s="1" t="s">
        <v>672</v>
      </c>
      <c r="C1127" s="1" t="s">
        <v>674</v>
      </c>
      <c r="D1127" s="1" t="str">
        <f>"059-232-2316  "</f>
        <v xml:space="preserve">059-232-2316  </v>
      </c>
      <c r="E1127" s="1" t="s">
        <v>37</v>
      </c>
    </row>
    <row r="1128" spans="1:5" x14ac:dyDescent="0.55000000000000004">
      <c r="A1128" s="1" t="s">
        <v>332</v>
      </c>
      <c r="B1128" s="1" t="s">
        <v>333</v>
      </c>
      <c r="C1128" s="1" t="s">
        <v>334</v>
      </c>
      <c r="D1128" s="1" t="str">
        <f>"059-235-2411  "</f>
        <v xml:space="preserve">059-235-2411  </v>
      </c>
      <c r="E1128" s="1" t="s">
        <v>34</v>
      </c>
    </row>
    <row r="1129" spans="1:5" x14ac:dyDescent="0.55000000000000004">
      <c r="A1129" s="1" t="s">
        <v>2303</v>
      </c>
      <c r="B1129" s="1" t="s">
        <v>2126</v>
      </c>
      <c r="C1129" s="1" t="str">
        <f>"津市半田206-1"</f>
        <v>津市半田206-1</v>
      </c>
      <c r="D1129" s="1" t="str">
        <f>"059-269-5515  "</f>
        <v xml:space="preserve">059-269-5515  </v>
      </c>
      <c r="E1129" s="1" t="s">
        <v>14</v>
      </c>
    </row>
    <row r="1130" spans="1:5" x14ac:dyDescent="0.55000000000000004">
      <c r="A1130" s="1" t="s">
        <v>2125</v>
      </c>
      <c r="B1130" s="1" t="s">
        <v>2126</v>
      </c>
      <c r="C1130" s="1" t="str">
        <f>"津市半田206-1"</f>
        <v>津市半田206-1</v>
      </c>
      <c r="D1130" s="1" t="str">
        <f>"059-269-5515  "</f>
        <v xml:space="preserve">059-269-5515  </v>
      </c>
      <c r="E1130" s="1" t="s">
        <v>2127</v>
      </c>
    </row>
    <row r="1131" spans="1:5" x14ac:dyDescent="0.55000000000000004">
      <c r="A1131" s="1" t="s">
        <v>901</v>
      </c>
      <c r="B1131" s="1" t="s">
        <v>902</v>
      </c>
      <c r="C1131" s="1" t="s">
        <v>903</v>
      </c>
      <c r="D1131" s="1" t="str">
        <f>"059-244-0277  "</f>
        <v xml:space="preserve">059-244-0277  </v>
      </c>
      <c r="E1131" s="1" t="s">
        <v>22</v>
      </c>
    </row>
    <row r="1132" spans="1:5" x14ac:dyDescent="0.55000000000000004">
      <c r="A1132" s="1" t="s">
        <v>2585</v>
      </c>
      <c r="B1132" s="1" t="s">
        <v>2586</v>
      </c>
      <c r="C1132" s="1" t="str">
        <f>"津市久居明神町2070-2"</f>
        <v>津市久居明神町2070-2</v>
      </c>
      <c r="D1132" s="1" t="str">
        <f>"059-271-7170  "</f>
        <v xml:space="preserve">059-271-7170  </v>
      </c>
      <c r="E1132" s="1" t="s">
        <v>2587</v>
      </c>
    </row>
    <row r="1133" spans="1:5" x14ac:dyDescent="0.55000000000000004">
      <c r="A1133" s="1" t="s">
        <v>2429</v>
      </c>
      <c r="B1133" s="1" t="s">
        <v>1046</v>
      </c>
      <c r="C1133" s="1" t="str">
        <f>"津市鳥居町278-6"</f>
        <v>津市鳥居町278-6</v>
      </c>
      <c r="D1133" s="1" t="str">
        <f>"059-221-2121  "</f>
        <v xml:space="preserve">059-221-2121  </v>
      </c>
      <c r="E1133" s="1" t="s">
        <v>216</v>
      </c>
    </row>
    <row r="1134" spans="1:5" x14ac:dyDescent="0.55000000000000004">
      <c r="A1134" s="1" t="s">
        <v>1153</v>
      </c>
      <c r="B1134" s="1" t="s">
        <v>1154</v>
      </c>
      <c r="C1134" s="1" t="str">
        <f>"津市河芸町東千里110-1"</f>
        <v>津市河芸町東千里110-1</v>
      </c>
      <c r="D1134" s="1" t="str">
        <f>"059-269-5510  "</f>
        <v xml:space="preserve">059-269-5510  </v>
      </c>
      <c r="E1134" s="1" t="s">
        <v>259</v>
      </c>
    </row>
    <row r="1135" spans="1:5" x14ac:dyDescent="0.55000000000000004">
      <c r="A1135" s="1" t="s">
        <v>2671</v>
      </c>
      <c r="B1135" s="1" t="s">
        <v>2672</v>
      </c>
      <c r="C1135" s="1" t="str">
        <f>"津市久居野村町600-2"</f>
        <v>津市久居野村町600-2</v>
      </c>
      <c r="D1135" s="1" t="str">
        <f>"059-254-0777  "</f>
        <v xml:space="preserve">059-254-0777  </v>
      </c>
      <c r="E1135" s="1" t="s">
        <v>2124</v>
      </c>
    </row>
    <row r="1136" spans="1:5" x14ac:dyDescent="0.55000000000000004">
      <c r="A1136" s="1" t="s">
        <v>642</v>
      </c>
      <c r="B1136" s="1" t="s">
        <v>643</v>
      </c>
      <c r="C1136" s="1" t="s">
        <v>644</v>
      </c>
      <c r="D1136" s="1" t="str">
        <f>"059-233-6900  "</f>
        <v xml:space="preserve">059-233-6900  </v>
      </c>
      <c r="E1136" s="1" t="s">
        <v>34</v>
      </c>
    </row>
    <row r="1137" spans="1:5" x14ac:dyDescent="0.55000000000000004">
      <c r="A1137" s="1" t="s">
        <v>2561</v>
      </c>
      <c r="B1137" s="1" t="s">
        <v>2562</v>
      </c>
      <c r="C1137" s="1" t="s">
        <v>2563</v>
      </c>
      <c r="D1137" s="1" t="str">
        <f>"059-224-1661  "</f>
        <v xml:space="preserve">059-224-1661  </v>
      </c>
      <c r="E1137" s="1" t="s">
        <v>2564</v>
      </c>
    </row>
    <row r="1138" spans="1:5" x14ac:dyDescent="0.55000000000000004">
      <c r="A1138" s="1" t="s">
        <v>2255</v>
      </c>
      <c r="B1138" s="1" t="s">
        <v>2256</v>
      </c>
      <c r="C1138" s="1" t="str">
        <f>"津市久居小野辺町1130-7"</f>
        <v>津市久居小野辺町1130-7</v>
      </c>
      <c r="D1138" s="1" t="str">
        <f>"059-271-7077  "</f>
        <v xml:space="preserve">059-271-7077  </v>
      </c>
      <c r="E1138" s="1" t="s">
        <v>106</v>
      </c>
    </row>
    <row r="1139" spans="1:5" x14ac:dyDescent="0.55000000000000004">
      <c r="A1139" s="1" t="s">
        <v>1382</v>
      </c>
      <c r="B1139" s="1" t="s">
        <v>990</v>
      </c>
      <c r="C1139" s="1" t="s">
        <v>1383</v>
      </c>
      <c r="D1139" s="1" t="str">
        <f>"059-226-1174  "</f>
        <v xml:space="preserve">059-226-1174  </v>
      </c>
      <c r="E1139" s="1" t="s">
        <v>6</v>
      </c>
    </row>
    <row r="1140" spans="1:5" x14ac:dyDescent="0.55000000000000004">
      <c r="A1140" s="1" t="s">
        <v>1416</v>
      </c>
      <c r="B1140" s="1" t="s">
        <v>990</v>
      </c>
      <c r="C1140" s="1" t="s">
        <v>1383</v>
      </c>
      <c r="D1140" s="1" t="str">
        <f>"059-226-1174  "</f>
        <v xml:space="preserve">059-226-1174  </v>
      </c>
      <c r="E1140" s="1" t="s">
        <v>6</v>
      </c>
    </row>
    <row r="1141" spans="1:5" x14ac:dyDescent="0.55000000000000004">
      <c r="A1141" s="1" t="s">
        <v>2936</v>
      </c>
      <c r="B1141" s="1" t="s">
        <v>132</v>
      </c>
      <c r="C1141" s="1" t="str">
        <f t="shared" ref="C1141:C1153" si="41">"津市寿町16-24"</f>
        <v>津市寿町16-24</v>
      </c>
      <c r="D1141" s="1" t="str">
        <f t="shared" ref="D1141:D1153" si="42">"059-225-2848  "</f>
        <v xml:space="preserve">059-225-2848  </v>
      </c>
      <c r="E1141" s="1" t="s">
        <v>2937</v>
      </c>
    </row>
    <row r="1142" spans="1:5" x14ac:dyDescent="0.55000000000000004">
      <c r="A1142" s="1" t="s">
        <v>2943</v>
      </c>
      <c r="B1142" s="1" t="s">
        <v>132</v>
      </c>
      <c r="C1142" s="1" t="str">
        <f t="shared" si="41"/>
        <v>津市寿町16-24</v>
      </c>
      <c r="D1142" s="1" t="str">
        <f t="shared" si="42"/>
        <v xml:space="preserve">059-225-2848  </v>
      </c>
      <c r="E1142" s="1" t="s">
        <v>6</v>
      </c>
    </row>
    <row r="1143" spans="1:5" x14ac:dyDescent="0.55000000000000004">
      <c r="A1143" s="1" t="s">
        <v>535</v>
      </c>
      <c r="B1143" s="1" t="s">
        <v>132</v>
      </c>
      <c r="C1143" s="1" t="str">
        <f t="shared" si="41"/>
        <v>津市寿町16-24</v>
      </c>
      <c r="D1143" s="1" t="str">
        <f t="shared" si="42"/>
        <v xml:space="preserve">059-225-2848  </v>
      </c>
      <c r="E1143" s="1" t="s">
        <v>6</v>
      </c>
    </row>
    <row r="1144" spans="1:5" x14ac:dyDescent="0.55000000000000004">
      <c r="A1144" s="1" t="s">
        <v>536</v>
      </c>
      <c r="B1144" s="1" t="s">
        <v>132</v>
      </c>
      <c r="C1144" s="1" t="str">
        <f t="shared" si="41"/>
        <v>津市寿町16-24</v>
      </c>
      <c r="D1144" s="1" t="str">
        <f t="shared" si="42"/>
        <v xml:space="preserve">059-225-2848  </v>
      </c>
      <c r="E1144" s="1" t="s">
        <v>14</v>
      </c>
    </row>
    <row r="1145" spans="1:5" x14ac:dyDescent="0.55000000000000004">
      <c r="A1145" s="1" t="s">
        <v>1002</v>
      </c>
      <c r="B1145" s="1" t="s">
        <v>132</v>
      </c>
      <c r="C1145" s="1" t="str">
        <f t="shared" si="41"/>
        <v>津市寿町16-24</v>
      </c>
      <c r="D1145" s="1" t="str">
        <f t="shared" si="42"/>
        <v xml:space="preserve">059-225-2848  </v>
      </c>
      <c r="E1145" s="1" t="s">
        <v>6</v>
      </c>
    </row>
    <row r="1146" spans="1:5" x14ac:dyDescent="0.55000000000000004">
      <c r="A1146" s="1" t="s">
        <v>1043</v>
      </c>
      <c r="B1146" s="1" t="s">
        <v>132</v>
      </c>
      <c r="C1146" s="1" t="str">
        <f t="shared" si="41"/>
        <v>津市寿町16-24</v>
      </c>
      <c r="D1146" s="1" t="str">
        <f t="shared" si="42"/>
        <v xml:space="preserve">059-225-2848  </v>
      </c>
      <c r="E1146" s="1" t="s">
        <v>111</v>
      </c>
    </row>
    <row r="1147" spans="1:5" x14ac:dyDescent="0.55000000000000004">
      <c r="A1147" s="1" t="s">
        <v>2746</v>
      </c>
      <c r="B1147" s="1" t="s">
        <v>132</v>
      </c>
      <c r="C1147" s="1" t="str">
        <f t="shared" si="41"/>
        <v>津市寿町16-24</v>
      </c>
      <c r="D1147" s="1" t="str">
        <f t="shared" si="42"/>
        <v xml:space="preserve">059-225-2848  </v>
      </c>
      <c r="E1147" s="1" t="s">
        <v>6</v>
      </c>
    </row>
    <row r="1148" spans="1:5" x14ac:dyDescent="0.55000000000000004">
      <c r="A1148" s="1" t="s">
        <v>2807</v>
      </c>
      <c r="B1148" s="1" t="s">
        <v>132</v>
      </c>
      <c r="C1148" s="1" t="str">
        <f t="shared" si="41"/>
        <v>津市寿町16-24</v>
      </c>
      <c r="D1148" s="1" t="str">
        <f t="shared" si="42"/>
        <v xml:space="preserve">059-225-2848  </v>
      </c>
      <c r="E1148" s="1" t="s">
        <v>6</v>
      </c>
    </row>
    <row r="1149" spans="1:5" x14ac:dyDescent="0.55000000000000004">
      <c r="A1149" s="1" t="s">
        <v>2815</v>
      </c>
      <c r="B1149" s="1" t="s">
        <v>132</v>
      </c>
      <c r="C1149" s="1" t="str">
        <f t="shared" si="41"/>
        <v>津市寿町16-24</v>
      </c>
      <c r="D1149" s="1" t="str">
        <f t="shared" si="42"/>
        <v xml:space="preserve">059-225-2848  </v>
      </c>
      <c r="E1149" s="1" t="s">
        <v>23</v>
      </c>
    </row>
    <row r="1150" spans="1:5" x14ac:dyDescent="0.55000000000000004">
      <c r="A1150" s="1" t="s">
        <v>2838</v>
      </c>
      <c r="B1150" s="1" t="s">
        <v>132</v>
      </c>
      <c r="C1150" s="1" t="str">
        <f t="shared" si="41"/>
        <v>津市寿町16-24</v>
      </c>
      <c r="D1150" s="1" t="str">
        <f t="shared" si="42"/>
        <v xml:space="preserve">059-225-2848  </v>
      </c>
      <c r="E1150" s="1" t="s">
        <v>6</v>
      </c>
    </row>
    <row r="1151" spans="1:5" x14ac:dyDescent="0.55000000000000004">
      <c r="A1151" s="1" t="s">
        <v>2857</v>
      </c>
      <c r="B1151" s="1" t="s">
        <v>132</v>
      </c>
      <c r="C1151" s="1" t="str">
        <f t="shared" si="41"/>
        <v>津市寿町16-24</v>
      </c>
      <c r="D1151" s="1" t="str">
        <f t="shared" si="42"/>
        <v xml:space="preserve">059-225-2848  </v>
      </c>
      <c r="E1151" s="1" t="s">
        <v>6</v>
      </c>
    </row>
    <row r="1152" spans="1:5" x14ac:dyDescent="0.55000000000000004">
      <c r="A1152" s="1" t="s">
        <v>2952</v>
      </c>
      <c r="B1152" s="1" t="s">
        <v>132</v>
      </c>
      <c r="C1152" s="1" t="str">
        <f t="shared" si="41"/>
        <v>津市寿町16-24</v>
      </c>
      <c r="D1152" s="1" t="str">
        <f t="shared" si="42"/>
        <v xml:space="preserve">059-225-2848  </v>
      </c>
      <c r="E1152" s="1" t="s">
        <v>6</v>
      </c>
    </row>
    <row r="1153" spans="1:5" x14ac:dyDescent="0.55000000000000004">
      <c r="A1153" s="1" t="s">
        <v>3065</v>
      </c>
      <c r="B1153" s="1" t="s">
        <v>132</v>
      </c>
      <c r="C1153" s="1" t="str">
        <f t="shared" si="41"/>
        <v>津市寿町16-24</v>
      </c>
      <c r="D1153" s="1" t="str">
        <f t="shared" si="42"/>
        <v xml:space="preserve">059-225-2848  </v>
      </c>
      <c r="E1153" s="1" t="s">
        <v>6</v>
      </c>
    </row>
    <row r="1154" spans="1:5" x14ac:dyDescent="0.55000000000000004">
      <c r="A1154" s="1" t="s">
        <v>579</v>
      </c>
      <c r="B1154" s="1" t="s">
        <v>580</v>
      </c>
      <c r="C1154" s="1" t="s">
        <v>581</v>
      </c>
      <c r="D1154" s="1" t="str">
        <f>"059-259-1212  "</f>
        <v xml:space="preserve">059-259-1212  </v>
      </c>
      <c r="E1154" s="1" t="s">
        <v>582</v>
      </c>
    </row>
    <row r="1155" spans="1:5" x14ac:dyDescent="0.55000000000000004">
      <c r="A1155" s="1" t="s">
        <v>2546</v>
      </c>
      <c r="B1155" s="1" t="s">
        <v>276</v>
      </c>
      <c r="C1155" s="1" t="s">
        <v>665</v>
      </c>
      <c r="D1155" s="1" t="str">
        <f>"059-252-1555  "</f>
        <v xml:space="preserve">059-252-1555  </v>
      </c>
      <c r="E1155" s="1" t="s">
        <v>277</v>
      </c>
    </row>
    <row r="1156" spans="1:5" x14ac:dyDescent="0.55000000000000004">
      <c r="A1156" s="1" t="s">
        <v>2551</v>
      </c>
      <c r="B1156" s="1" t="s">
        <v>276</v>
      </c>
      <c r="C1156" s="1" t="s">
        <v>665</v>
      </c>
      <c r="D1156" s="1" t="str">
        <f>"059-252-1555  "</f>
        <v xml:space="preserve">059-252-1555  </v>
      </c>
      <c r="E1156" s="1" t="s">
        <v>277</v>
      </c>
    </row>
    <row r="1157" spans="1:5" x14ac:dyDescent="0.55000000000000004">
      <c r="A1157" s="1" t="s">
        <v>664</v>
      </c>
      <c r="B1157" s="1" t="s">
        <v>276</v>
      </c>
      <c r="C1157" s="1" t="s">
        <v>665</v>
      </c>
      <c r="D1157" s="1" t="str">
        <f>"059-252-1555  "</f>
        <v xml:space="preserve">059-252-1555  </v>
      </c>
      <c r="E1157" s="1" t="s">
        <v>6</v>
      </c>
    </row>
    <row r="1158" spans="1:5" x14ac:dyDescent="0.55000000000000004">
      <c r="A1158" s="1" t="s">
        <v>1345</v>
      </c>
      <c r="B1158" s="1" t="s">
        <v>276</v>
      </c>
      <c r="C1158" s="1" t="s">
        <v>665</v>
      </c>
      <c r="D1158" s="1" t="str">
        <f>"059-252-1555  "</f>
        <v xml:space="preserve">059-252-1555  </v>
      </c>
      <c r="E1158" s="1" t="s">
        <v>1346</v>
      </c>
    </row>
    <row r="1159" spans="1:5" x14ac:dyDescent="0.55000000000000004">
      <c r="A1159" s="1" t="s">
        <v>1870</v>
      </c>
      <c r="B1159" s="1" t="s">
        <v>276</v>
      </c>
      <c r="C1159" s="1" t="s">
        <v>665</v>
      </c>
      <c r="D1159" s="1" t="str">
        <f>"059-252-1555  "</f>
        <v xml:space="preserve">059-252-1555  </v>
      </c>
      <c r="E1159" s="1" t="s">
        <v>1346</v>
      </c>
    </row>
    <row r="1160" spans="1:5" x14ac:dyDescent="0.55000000000000004">
      <c r="A1160" s="1" t="s">
        <v>2304</v>
      </c>
      <c r="B1160" s="1" t="s">
        <v>1074</v>
      </c>
      <c r="C1160" s="1" t="str">
        <f t="shared" ref="C1160:C1169" si="43">"津市一色町215-1"</f>
        <v>津市一色町215-1</v>
      </c>
      <c r="D1160" s="1" t="str">
        <f t="shared" ref="D1160:D1169" si="44">"059-226-1111  "</f>
        <v xml:space="preserve">059-226-1111  </v>
      </c>
      <c r="E1160" s="1" t="s">
        <v>36</v>
      </c>
    </row>
    <row r="1161" spans="1:5" x14ac:dyDescent="0.55000000000000004">
      <c r="A1161" s="1" t="s">
        <v>2033</v>
      </c>
      <c r="B1161" s="1" t="s">
        <v>1074</v>
      </c>
      <c r="C1161" s="1" t="str">
        <f t="shared" si="43"/>
        <v>津市一色町215-1</v>
      </c>
      <c r="D1161" s="1" t="str">
        <f t="shared" si="44"/>
        <v xml:space="preserve">059-226-1111  </v>
      </c>
      <c r="E1161" s="1" t="s">
        <v>81</v>
      </c>
    </row>
    <row r="1162" spans="1:5" x14ac:dyDescent="0.55000000000000004">
      <c r="A1162" s="1" t="s">
        <v>1073</v>
      </c>
      <c r="B1162" s="1" t="s">
        <v>1074</v>
      </c>
      <c r="C1162" s="1" t="str">
        <f t="shared" si="43"/>
        <v>津市一色町215-1</v>
      </c>
      <c r="D1162" s="1" t="str">
        <f t="shared" si="44"/>
        <v xml:space="preserve">059-226-1111  </v>
      </c>
      <c r="E1162" s="1" t="s">
        <v>81</v>
      </c>
    </row>
    <row r="1163" spans="1:5" x14ac:dyDescent="0.55000000000000004">
      <c r="A1163" s="1" t="s">
        <v>1116</v>
      </c>
      <c r="B1163" s="1" t="s">
        <v>1074</v>
      </c>
      <c r="C1163" s="1" t="str">
        <f t="shared" si="43"/>
        <v>津市一色町215-1</v>
      </c>
      <c r="D1163" s="1" t="str">
        <f t="shared" si="44"/>
        <v xml:space="preserve">059-226-1111  </v>
      </c>
      <c r="E1163" s="1" t="s">
        <v>6</v>
      </c>
    </row>
    <row r="1164" spans="1:5" x14ac:dyDescent="0.55000000000000004">
      <c r="A1164" s="1" t="s">
        <v>1141</v>
      </c>
      <c r="B1164" s="1" t="s">
        <v>1074</v>
      </c>
      <c r="C1164" s="1" t="str">
        <f t="shared" si="43"/>
        <v>津市一色町215-1</v>
      </c>
      <c r="D1164" s="1" t="str">
        <f t="shared" si="44"/>
        <v xml:space="preserve">059-226-1111  </v>
      </c>
      <c r="E1164" s="1" t="s">
        <v>6</v>
      </c>
    </row>
    <row r="1165" spans="1:5" x14ac:dyDescent="0.55000000000000004">
      <c r="A1165" s="1" t="s">
        <v>1320</v>
      </c>
      <c r="B1165" s="1" t="s">
        <v>1074</v>
      </c>
      <c r="C1165" s="1" t="str">
        <f t="shared" si="43"/>
        <v>津市一色町215-1</v>
      </c>
      <c r="D1165" s="1" t="str">
        <f t="shared" si="44"/>
        <v xml:space="preserve">059-226-1111  </v>
      </c>
      <c r="E1165" s="1" t="s">
        <v>123</v>
      </c>
    </row>
    <row r="1166" spans="1:5" x14ac:dyDescent="0.55000000000000004">
      <c r="A1166" s="1" t="s">
        <v>1381</v>
      </c>
      <c r="B1166" s="1" t="s">
        <v>1074</v>
      </c>
      <c r="C1166" s="1" t="str">
        <f t="shared" si="43"/>
        <v>津市一色町215-1</v>
      </c>
      <c r="D1166" s="1" t="str">
        <f t="shared" si="44"/>
        <v xml:space="preserve">059-226-1111  </v>
      </c>
      <c r="E1166" s="1" t="s">
        <v>6</v>
      </c>
    </row>
    <row r="1167" spans="1:5" x14ac:dyDescent="0.55000000000000004">
      <c r="A1167" s="1" t="s">
        <v>1384</v>
      </c>
      <c r="B1167" s="1" t="s">
        <v>1074</v>
      </c>
      <c r="C1167" s="1" t="str">
        <f t="shared" si="43"/>
        <v>津市一色町215-1</v>
      </c>
      <c r="D1167" s="1" t="str">
        <f t="shared" si="44"/>
        <v xml:space="preserve">059-226-1111  </v>
      </c>
      <c r="E1167" s="1" t="s">
        <v>6</v>
      </c>
    </row>
    <row r="1168" spans="1:5" x14ac:dyDescent="0.55000000000000004">
      <c r="A1168" s="1" t="s">
        <v>1555</v>
      </c>
      <c r="B1168" s="1" t="s">
        <v>1074</v>
      </c>
      <c r="C1168" s="1" t="str">
        <f t="shared" si="43"/>
        <v>津市一色町215-1</v>
      </c>
      <c r="D1168" s="1" t="str">
        <f t="shared" si="44"/>
        <v xml:space="preserve">059-226-1111  </v>
      </c>
      <c r="E1168" s="1" t="s">
        <v>23</v>
      </c>
    </row>
    <row r="1169" spans="1:5" x14ac:dyDescent="0.55000000000000004">
      <c r="A1169" s="1" t="s">
        <v>2869</v>
      </c>
      <c r="B1169" s="1" t="s">
        <v>1074</v>
      </c>
      <c r="C1169" s="1" t="str">
        <f t="shared" si="43"/>
        <v>津市一色町215-1</v>
      </c>
      <c r="D1169" s="1" t="str">
        <f t="shared" si="44"/>
        <v xml:space="preserve">059-226-1111  </v>
      </c>
      <c r="E1169" s="1" t="s">
        <v>23</v>
      </c>
    </row>
    <row r="1170" spans="1:5" x14ac:dyDescent="0.55000000000000004">
      <c r="A1170" s="1" t="s">
        <v>2968</v>
      </c>
      <c r="B1170" s="1" t="s">
        <v>872</v>
      </c>
      <c r="C1170" s="1" t="str">
        <f t="shared" ref="C1170:C1188" si="45">"津市南新町17-22"</f>
        <v>津市南新町17-22</v>
      </c>
      <c r="D1170" s="1" t="str">
        <f t="shared" ref="D1170:D1188" si="46">"059-227-6171  "</f>
        <v xml:space="preserve">059-227-6171  </v>
      </c>
      <c r="E1170" s="1" t="s">
        <v>6</v>
      </c>
    </row>
    <row r="1171" spans="1:5" x14ac:dyDescent="0.55000000000000004">
      <c r="A1171" s="1" t="s">
        <v>2306</v>
      </c>
      <c r="B1171" s="1" t="s">
        <v>872</v>
      </c>
      <c r="C1171" s="1" t="str">
        <f t="shared" si="45"/>
        <v>津市南新町17-22</v>
      </c>
      <c r="D1171" s="1" t="str">
        <f t="shared" si="46"/>
        <v xml:space="preserve">059-227-6171  </v>
      </c>
      <c r="E1171" s="1" t="s">
        <v>23</v>
      </c>
    </row>
    <row r="1172" spans="1:5" x14ac:dyDescent="0.55000000000000004">
      <c r="A1172" s="1" t="s">
        <v>1569</v>
      </c>
      <c r="B1172" s="1" t="s">
        <v>872</v>
      </c>
      <c r="C1172" s="1" t="str">
        <f t="shared" si="45"/>
        <v>津市南新町17-22</v>
      </c>
      <c r="D1172" s="1" t="str">
        <f t="shared" si="46"/>
        <v xml:space="preserve">059-227-6171  </v>
      </c>
      <c r="E1172" s="1" t="s">
        <v>6</v>
      </c>
    </row>
    <row r="1173" spans="1:5" x14ac:dyDescent="0.55000000000000004">
      <c r="A1173" s="1" t="s">
        <v>2089</v>
      </c>
      <c r="B1173" s="1" t="s">
        <v>872</v>
      </c>
      <c r="C1173" s="1" t="str">
        <f t="shared" si="45"/>
        <v>津市南新町17-22</v>
      </c>
      <c r="D1173" s="1" t="str">
        <f t="shared" si="46"/>
        <v xml:space="preserve">059-227-6171  </v>
      </c>
      <c r="E1173" s="1" t="s">
        <v>23</v>
      </c>
    </row>
    <row r="1174" spans="1:5" x14ac:dyDescent="0.55000000000000004">
      <c r="A1174" s="1" t="s">
        <v>871</v>
      </c>
      <c r="B1174" s="1" t="s">
        <v>872</v>
      </c>
      <c r="C1174" s="1" t="str">
        <f t="shared" si="45"/>
        <v>津市南新町17-22</v>
      </c>
      <c r="D1174" s="1" t="str">
        <f t="shared" si="46"/>
        <v xml:space="preserve">059-227-6171  </v>
      </c>
      <c r="E1174" s="1" t="s">
        <v>6</v>
      </c>
    </row>
    <row r="1175" spans="1:5" x14ac:dyDescent="0.55000000000000004">
      <c r="A1175" s="1" t="s">
        <v>2004</v>
      </c>
      <c r="B1175" s="1" t="s">
        <v>872</v>
      </c>
      <c r="C1175" s="1" t="str">
        <f t="shared" si="45"/>
        <v>津市南新町17-22</v>
      </c>
      <c r="D1175" s="1" t="str">
        <f t="shared" si="46"/>
        <v xml:space="preserve">059-227-6171  </v>
      </c>
      <c r="E1175" s="1" t="s">
        <v>6</v>
      </c>
    </row>
    <row r="1176" spans="1:5" x14ac:dyDescent="0.55000000000000004">
      <c r="A1176" s="1" t="s">
        <v>1568</v>
      </c>
      <c r="B1176" s="1" t="s">
        <v>872</v>
      </c>
      <c r="C1176" s="1" t="str">
        <f t="shared" si="45"/>
        <v>津市南新町17-22</v>
      </c>
      <c r="D1176" s="1" t="str">
        <f t="shared" si="46"/>
        <v xml:space="preserve">059-227-6171  </v>
      </c>
      <c r="E1176" s="1" t="s">
        <v>6</v>
      </c>
    </row>
    <row r="1177" spans="1:5" x14ac:dyDescent="0.55000000000000004">
      <c r="A1177" s="1" t="s">
        <v>1570</v>
      </c>
      <c r="B1177" s="1" t="s">
        <v>872</v>
      </c>
      <c r="C1177" s="1" t="str">
        <f t="shared" si="45"/>
        <v>津市南新町17-22</v>
      </c>
      <c r="D1177" s="1" t="str">
        <f t="shared" si="46"/>
        <v xml:space="preserve">059-227-6171  </v>
      </c>
      <c r="E1177" s="1" t="s">
        <v>6</v>
      </c>
    </row>
    <row r="1178" spans="1:5" x14ac:dyDescent="0.55000000000000004">
      <c r="A1178" s="1" t="s">
        <v>1585</v>
      </c>
      <c r="B1178" s="1" t="s">
        <v>872</v>
      </c>
      <c r="C1178" s="1" t="str">
        <f t="shared" si="45"/>
        <v>津市南新町17-22</v>
      </c>
      <c r="D1178" s="1" t="str">
        <f t="shared" si="46"/>
        <v xml:space="preserve">059-227-6171  </v>
      </c>
      <c r="E1178" s="1" t="s">
        <v>23</v>
      </c>
    </row>
    <row r="1179" spans="1:5" x14ac:dyDescent="0.55000000000000004">
      <c r="A1179" s="1" t="s">
        <v>1637</v>
      </c>
      <c r="B1179" s="1" t="s">
        <v>872</v>
      </c>
      <c r="C1179" s="1" t="str">
        <f t="shared" si="45"/>
        <v>津市南新町17-22</v>
      </c>
      <c r="D1179" s="1" t="str">
        <f t="shared" si="46"/>
        <v xml:space="preserve">059-227-6171  </v>
      </c>
      <c r="E1179" s="1" t="s">
        <v>23</v>
      </c>
    </row>
    <row r="1180" spans="1:5" x14ac:dyDescent="0.55000000000000004">
      <c r="A1180" s="1" t="s">
        <v>1638</v>
      </c>
      <c r="B1180" s="1" t="s">
        <v>872</v>
      </c>
      <c r="C1180" s="1" t="str">
        <f t="shared" si="45"/>
        <v>津市南新町17-22</v>
      </c>
      <c r="D1180" s="1" t="str">
        <f t="shared" si="46"/>
        <v xml:space="preserve">059-227-6171  </v>
      </c>
      <c r="E1180" s="1" t="s">
        <v>23</v>
      </c>
    </row>
    <row r="1181" spans="1:5" x14ac:dyDescent="0.55000000000000004">
      <c r="A1181" s="1" t="s">
        <v>1639</v>
      </c>
      <c r="B1181" s="1" t="s">
        <v>872</v>
      </c>
      <c r="C1181" s="1" t="str">
        <f t="shared" si="45"/>
        <v>津市南新町17-22</v>
      </c>
      <c r="D1181" s="1" t="str">
        <f t="shared" si="46"/>
        <v xml:space="preserve">059-227-6171  </v>
      </c>
      <c r="E1181" s="1" t="s">
        <v>23</v>
      </c>
    </row>
    <row r="1182" spans="1:5" x14ac:dyDescent="0.55000000000000004">
      <c r="A1182" s="1" t="s">
        <v>1640</v>
      </c>
      <c r="B1182" s="1" t="s">
        <v>872</v>
      </c>
      <c r="C1182" s="1" t="str">
        <f t="shared" si="45"/>
        <v>津市南新町17-22</v>
      </c>
      <c r="D1182" s="1" t="str">
        <f t="shared" si="46"/>
        <v xml:space="preserve">059-227-6171  </v>
      </c>
      <c r="E1182" s="1" t="s">
        <v>6</v>
      </c>
    </row>
    <row r="1183" spans="1:5" x14ac:dyDescent="0.55000000000000004">
      <c r="A1183" s="1" t="s">
        <v>1641</v>
      </c>
      <c r="B1183" s="1" t="s">
        <v>872</v>
      </c>
      <c r="C1183" s="1" t="str">
        <f t="shared" si="45"/>
        <v>津市南新町17-22</v>
      </c>
      <c r="D1183" s="1" t="str">
        <f t="shared" si="46"/>
        <v xml:space="preserve">059-227-6171  </v>
      </c>
      <c r="E1183" s="1" t="s">
        <v>6</v>
      </c>
    </row>
    <row r="1184" spans="1:5" x14ac:dyDescent="0.55000000000000004">
      <c r="A1184" s="1" t="s">
        <v>1642</v>
      </c>
      <c r="B1184" s="1" t="s">
        <v>872</v>
      </c>
      <c r="C1184" s="1" t="str">
        <f t="shared" si="45"/>
        <v>津市南新町17-22</v>
      </c>
      <c r="D1184" s="1" t="str">
        <f t="shared" si="46"/>
        <v xml:space="preserve">059-227-6171  </v>
      </c>
      <c r="E1184" s="1" t="s">
        <v>6</v>
      </c>
    </row>
    <row r="1185" spans="1:5" x14ac:dyDescent="0.55000000000000004">
      <c r="A1185" s="1" t="s">
        <v>1644</v>
      </c>
      <c r="B1185" s="1" t="s">
        <v>872</v>
      </c>
      <c r="C1185" s="1" t="str">
        <f t="shared" si="45"/>
        <v>津市南新町17-22</v>
      </c>
      <c r="D1185" s="1" t="str">
        <f t="shared" si="46"/>
        <v xml:space="preserve">059-227-6171  </v>
      </c>
      <c r="E1185" s="1" t="s">
        <v>6</v>
      </c>
    </row>
    <row r="1186" spans="1:5" x14ac:dyDescent="0.55000000000000004">
      <c r="A1186" s="1" t="s">
        <v>1923</v>
      </c>
      <c r="B1186" s="1" t="s">
        <v>872</v>
      </c>
      <c r="C1186" s="1" t="str">
        <f t="shared" si="45"/>
        <v>津市南新町17-22</v>
      </c>
      <c r="D1186" s="1" t="str">
        <f t="shared" si="46"/>
        <v xml:space="preserve">059-227-6171  </v>
      </c>
      <c r="E1186" s="1" t="s">
        <v>6</v>
      </c>
    </row>
    <row r="1187" spans="1:5" x14ac:dyDescent="0.55000000000000004">
      <c r="A1187" s="1" t="s">
        <v>2182</v>
      </c>
      <c r="B1187" s="1" t="s">
        <v>872</v>
      </c>
      <c r="C1187" s="1" t="str">
        <f t="shared" si="45"/>
        <v>津市南新町17-22</v>
      </c>
      <c r="D1187" s="1" t="str">
        <f t="shared" si="46"/>
        <v xml:space="preserve">059-227-6171  </v>
      </c>
      <c r="E1187" s="1" t="s">
        <v>6</v>
      </c>
    </row>
    <row r="1188" spans="1:5" x14ac:dyDescent="0.55000000000000004">
      <c r="A1188" s="1" t="s">
        <v>1836</v>
      </c>
      <c r="B1188" s="1" t="s">
        <v>872</v>
      </c>
      <c r="C1188" s="1" t="str">
        <f t="shared" si="45"/>
        <v>津市南新町17-22</v>
      </c>
      <c r="D1188" s="1" t="str">
        <f t="shared" si="46"/>
        <v xml:space="preserve">059-227-6171  </v>
      </c>
      <c r="E1188" s="1" t="s">
        <v>23</v>
      </c>
    </row>
    <row r="1189" spans="1:5" x14ac:dyDescent="0.55000000000000004">
      <c r="A1189" s="1" t="s">
        <v>1944</v>
      </c>
      <c r="B1189" s="1" t="s">
        <v>1945</v>
      </c>
      <c r="C1189" s="1" t="s">
        <v>3073</v>
      </c>
      <c r="D1189" s="1" t="str">
        <f>"059-252-0211  "</f>
        <v xml:space="preserve">059-252-0211  </v>
      </c>
      <c r="E1189" s="1" t="s">
        <v>1946</v>
      </c>
    </row>
    <row r="1190" spans="1:5" x14ac:dyDescent="0.55000000000000004">
      <c r="A1190" s="1" t="s">
        <v>2961</v>
      </c>
      <c r="B1190" s="1" t="s">
        <v>1945</v>
      </c>
      <c r="C1190" s="1" t="s">
        <v>3098</v>
      </c>
      <c r="D1190" s="1" t="str">
        <f>"059-252-0211  "</f>
        <v xml:space="preserve">059-252-0211  </v>
      </c>
      <c r="E1190" s="1" t="s">
        <v>65</v>
      </c>
    </row>
    <row r="1191" spans="1:5" x14ac:dyDescent="0.55000000000000004">
      <c r="A1191" s="1" t="s">
        <v>2985</v>
      </c>
      <c r="B1191" s="1" t="s">
        <v>128</v>
      </c>
      <c r="C1191" s="1" t="s">
        <v>851</v>
      </c>
      <c r="D1191" s="1" t="str">
        <f t="shared" ref="D1191:D1235" si="47">"059-259-1211  "</f>
        <v xml:space="preserve">059-259-1211  </v>
      </c>
      <c r="E1191" s="1" t="s">
        <v>135</v>
      </c>
    </row>
    <row r="1192" spans="1:5" x14ac:dyDescent="0.55000000000000004">
      <c r="A1192" s="1" t="s">
        <v>2353</v>
      </c>
      <c r="B1192" s="1" t="s">
        <v>128</v>
      </c>
      <c r="C1192" s="1" t="s">
        <v>851</v>
      </c>
      <c r="D1192" s="1" t="str">
        <f t="shared" si="47"/>
        <v xml:space="preserve">059-259-1211  </v>
      </c>
      <c r="E1192" s="1" t="s">
        <v>111</v>
      </c>
    </row>
    <row r="1193" spans="1:5" x14ac:dyDescent="0.55000000000000004">
      <c r="A1193" s="1" t="s">
        <v>2370</v>
      </c>
      <c r="B1193" s="1" t="s">
        <v>128</v>
      </c>
      <c r="C1193" s="1" t="s">
        <v>851</v>
      </c>
      <c r="D1193" s="1" t="str">
        <f t="shared" si="47"/>
        <v xml:space="preserve">059-259-1211  </v>
      </c>
      <c r="E1193" s="1" t="s">
        <v>106</v>
      </c>
    </row>
    <row r="1194" spans="1:5" x14ac:dyDescent="0.55000000000000004">
      <c r="A1194" s="1" t="s">
        <v>2421</v>
      </c>
      <c r="B1194" s="1" t="s">
        <v>128</v>
      </c>
      <c r="C1194" s="1" t="s">
        <v>851</v>
      </c>
      <c r="D1194" s="1" t="str">
        <f t="shared" si="47"/>
        <v xml:space="preserve">059-259-1211  </v>
      </c>
      <c r="E1194" s="1" t="s">
        <v>111</v>
      </c>
    </row>
    <row r="1195" spans="1:5" x14ac:dyDescent="0.55000000000000004">
      <c r="A1195" s="1" t="s">
        <v>2447</v>
      </c>
      <c r="B1195" s="1" t="s">
        <v>128</v>
      </c>
      <c r="C1195" s="1" t="s">
        <v>851</v>
      </c>
      <c r="D1195" s="1" t="str">
        <f t="shared" si="47"/>
        <v xml:space="preserve">059-259-1211  </v>
      </c>
      <c r="E1195" s="1" t="s">
        <v>34</v>
      </c>
    </row>
    <row r="1196" spans="1:5" x14ac:dyDescent="0.55000000000000004">
      <c r="A1196" s="1" t="s">
        <v>2496</v>
      </c>
      <c r="B1196" s="1" t="s">
        <v>128</v>
      </c>
      <c r="C1196" s="1" t="s">
        <v>851</v>
      </c>
      <c r="D1196" s="1" t="str">
        <f t="shared" si="47"/>
        <v xml:space="preserve">059-259-1211  </v>
      </c>
      <c r="E1196" s="1" t="s">
        <v>131</v>
      </c>
    </row>
    <row r="1197" spans="1:5" x14ac:dyDescent="0.55000000000000004">
      <c r="A1197" s="1" t="s">
        <v>2550</v>
      </c>
      <c r="B1197" s="1" t="s">
        <v>128</v>
      </c>
      <c r="C1197" s="1" t="s">
        <v>851</v>
      </c>
      <c r="D1197" s="1" t="str">
        <f t="shared" si="47"/>
        <v xml:space="preserve">059-259-1211  </v>
      </c>
      <c r="E1197" s="1" t="s">
        <v>135</v>
      </c>
    </row>
    <row r="1198" spans="1:5" x14ac:dyDescent="0.55000000000000004">
      <c r="A1198" s="1" t="s">
        <v>2158</v>
      </c>
      <c r="B1198" s="1" t="s">
        <v>128</v>
      </c>
      <c r="C1198" s="1" t="s">
        <v>851</v>
      </c>
      <c r="D1198" s="1" t="str">
        <f t="shared" si="47"/>
        <v xml:space="preserve">059-259-1211  </v>
      </c>
      <c r="E1198" s="1" t="s">
        <v>1854</v>
      </c>
    </row>
    <row r="1199" spans="1:5" x14ac:dyDescent="0.55000000000000004">
      <c r="A1199" s="1" t="s">
        <v>2577</v>
      </c>
      <c r="B1199" s="1" t="s">
        <v>128</v>
      </c>
      <c r="C1199" s="1" t="s">
        <v>851</v>
      </c>
      <c r="D1199" s="1" t="str">
        <f t="shared" si="47"/>
        <v xml:space="preserve">059-259-1211  </v>
      </c>
      <c r="E1199" s="1" t="s">
        <v>81</v>
      </c>
    </row>
    <row r="1200" spans="1:5" x14ac:dyDescent="0.55000000000000004">
      <c r="A1200" s="1" t="s">
        <v>850</v>
      </c>
      <c r="B1200" s="1" t="s">
        <v>128</v>
      </c>
      <c r="C1200" s="1" t="s">
        <v>851</v>
      </c>
      <c r="D1200" s="1" t="str">
        <f t="shared" si="47"/>
        <v xml:space="preserve">059-259-1211  </v>
      </c>
      <c r="E1200" s="1" t="s">
        <v>22</v>
      </c>
    </row>
    <row r="1201" spans="1:5" x14ac:dyDescent="0.55000000000000004">
      <c r="A1201" s="1" t="s">
        <v>980</v>
      </c>
      <c r="B1201" s="1" t="s">
        <v>128</v>
      </c>
      <c r="C1201" s="1" t="s">
        <v>851</v>
      </c>
      <c r="D1201" s="1" t="str">
        <f t="shared" si="47"/>
        <v xml:space="preserve">059-259-1211  </v>
      </c>
      <c r="E1201" s="1" t="s">
        <v>135</v>
      </c>
    </row>
    <row r="1202" spans="1:5" x14ac:dyDescent="0.55000000000000004">
      <c r="A1202" s="1" t="s">
        <v>998</v>
      </c>
      <c r="B1202" s="1" t="s">
        <v>128</v>
      </c>
      <c r="C1202" s="1" t="s">
        <v>851</v>
      </c>
      <c r="D1202" s="1" t="str">
        <f t="shared" si="47"/>
        <v xml:space="preserve">059-259-1211  </v>
      </c>
      <c r="E1202" s="1" t="s">
        <v>135</v>
      </c>
    </row>
    <row r="1203" spans="1:5" x14ac:dyDescent="0.55000000000000004">
      <c r="A1203" s="1" t="s">
        <v>1006</v>
      </c>
      <c r="B1203" s="1" t="s">
        <v>128</v>
      </c>
      <c r="C1203" s="1" t="s">
        <v>851</v>
      </c>
      <c r="D1203" s="1" t="str">
        <f t="shared" si="47"/>
        <v xml:space="preserve">059-259-1211  </v>
      </c>
      <c r="E1203" s="1" t="s">
        <v>129</v>
      </c>
    </row>
    <row r="1204" spans="1:5" x14ac:dyDescent="0.55000000000000004">
      <c r="A1204" s="1" t="s">
        <v>1030</v>
      </c>
      <c r="B1204" s="1" t="s">
        <v>128</v>
      </c>
      <c r="C1204" s="1" t="s">
        <v>851</v>
      </c>
      <c r="D1204" s="1" t="str">
        <f t="shared" si="47"/>
        <v xml:space="preserve">059-259-1211  </v>
      </c>
      <c r="E1204" s="1" t="s">
        <v>111</v>
      </c>
    </row>
    <row r="1205" spans="1:5" x14ac:dyDescent="0.55000000000000004">
      <c r="A1205" s="1" t="s">
        <v>2034</v>
      </c>
      <c r="B1205" s="1" t="s">
        <v>128</v>
      </c>
      <c r="C1205" s="1" t="s">
        <v>851</v>
      </c>
      <c r="D1205" s="1" t="str">
        <f t="shared" si="47"/>
        <v xml:space="preserve">059-259-1211  </v>
      </c>
      <c r="E1205" s="1" t="s">
        <v>35</v>
      </c>
    </row>
    <row r="1206" spans="1:5" x14ac:dyDescent="0.55000000000000004">
      <c r="A1206" s="1" t="s">
        <v>1058</v>
      </c>
      <c r="B1206" s="1" t="s">
        <v>128</v>
      </c>
      <c r="C1206" s="1" t="s">
        <v>851</v>
      </c>
      <c r="D1206" s="1" t="str">
        <f t="shared" si="47"/>
        <v xml:space="preserve">059-259-1211  </v>
      </c>
      <c r="E1206" s="1" t="s">
        <v>135</v>
      </c>
    </row>
    <row r="1207" spans="1:5" x14ac:dyDescent="0.55000000000000004">
      <c r="A1207" s="1" t="s">
        <v>1095</v>
      </c>
      <c r="B1207" s="1" t="s">
        <v>128</v>
      </c>
      <c r="C1207" s="1" t="s">
        <v>851</v>
      </c>
      <c r="D1207" s="1" t="str">
        <f t="shared" si="47"/>
        <v xml:space="preserve">059-259-1211  </v>
      </c>
      <c r="E1207" s="1" t="s">
        <v>59</v>
      </c>
    </row>
    <row r="1208" spans="1:5" x14ac:dyDescent="0.55000000000000004">
      <c r="A1208" s="1" t="s">
        <v>1099</v>
      </c>
      <c r="B1208" s="1" t="s">
        <v>128</v>
      </c>
      <c r="C1208" s="1" t="s">
        <v>851</v>
      </c>
      <c r="D1208" s="1" t="str">
        <f t="shared" si="47"/>
        <v xml:space="preserve">059-259-1211  </v>
      </c>
      <c r="E1208" s="1" t="s">
        <v>14</v>
      </c>
    </row>
    <row r="1209" spans="1:5" x14ac:dyDescent="0.55000000000000004">
      <c r="A1209" s="1" t="s">
        <v>1103</v>
      </c>
      <c r="B1209" s="1" t="s">
        <v>128</v>
      </c>
      <c r="C1209" s="1" t="s">
        <v>851</v>
      </c>
      <c r="D1209" s="1" t="str">
        <f t="shared" si="47"/>
        <v xml:space="preserve">059-259-1211  </v>
      </c>
      <c r="E1209" s="1" t="s">
        <v>10</v>
      </c>
    </row>
    <row r="1210" spans="1:5" x14ac:dyDescent="0.55000000000000004">
      <c r="A1210" s="1" t="s">
        <v>1138</v>
      </c>
      <c r="B1210" s="1" t="s">
        <v>128</v>
      </c>
      <c r="C1210" s="1" t="s">
        <v>851</v>
      </c>
      <c r="D1210" s="1" t="str">
        <f t="shared" si="47"/>
        <v xml:space="preserve">059-259-1211  </v>
      </c>
      <c r="E1210" s="1" t="s">
        <v>216</v>
      </c>
    </row>
    <row r="1211" spans="1:5" x14ac:dyDescent="0.55000000000000004">
      <c r="A1211" s="1" t="s">
        <v>1139</v>
      </c>
      <c r="B1211" s="1" t="s">
        <v>128</v>
      </c>
      <c r="C1211" s="1" t="s">
        <v>851</v>
      </c>
      <c r="D1211" s="1" t="str">
        <f t="shared" si="47"/>
        <v xml:space="preserve">059-259-1211  </v>
      </c>
      <c r="E1211" s="1" t="s">
        <v>14</v>
      </c>
    </row>
    <row r="1212" spans="1:5" x14ac:dyDescent="0.55000000000000004">
      <c r="A1212" s="1" t="s">
        <v>1155</v>
      </c>
      <c r="B1212" s="1" t="s">
        <v>128</v>
      </c>
      <c r="C1212" s="1" t="s">
        <v>851</v>
      </c>
      <c r="D1212" s="1" t="str">
        <f t="shared" si="47"/>
        <v xml:space="preserve">059-259-1211  </v>
      </c>
      <c r="E1212" s="1" t="s">
        <v>858</v>
      </c>
    </row>
    <row r="1213" spans="1:5" x14ac:dyDescent="0.55000000000000004">
      <c r="A1213" s="1" t="s">
        <v>1173</v>
      </c>
      <c r="B1213" s="1" t="s">
        <v>128</v>
      </c>
      <c r="C1213" s="1" t="s">
        <v>851</v>
      </c>
      <c r="D1213" s="1" t="str">
        <f t="shared" si="47"/>
        <v xml:space="preserve">059-259-1211  </v>
      </c>
      <c r="E1213" s="1" t="s">
        <v>106</v>
      </c>
    </row>
    <row r="1214" spans="1:5" x14ac:dyDescent="0.55000000000000004">
      <c r="A1214" s="1" t="s">
        <v>1178</v>
      </c>
      <c r="B1214" s="1" t="s">
        <v>128</v>
      </c>
      <c r="C1214" s="1" t="s">
        <v>851</v>
      </c>
      <c r="D1214" s="1" t="str">
        <f t="shared" si="47"/>
        <v xml:space="preserve">059-259-1211  </v>
      </c>
      <c r="E1214" s="1" t="s">
        <v>106</v>
      </c>
    </row>
    <row r="1215" spans="1:5" x14ac:dyDescent="0.55000000000000004">
      <c r="A1215" s="1" t="s">
        <v>1367</v>
      </c>
      <c r="B1215" s="1" t="s">
        <v>128</v>
      </c>
      <c r="C1215" s="1" t="s">
        <v>851</v>
      </c>
      <c r="D1215" s="1" t="str">
        <f t="shared" si="47"/>
        <v xml:space="preserve">059-259-1211  </v>
      </c>
      <c r="E1215" s="1" t="s">
        <v>106</v>
      </c>
    </row>
    <row r="1216" spans="1:5" x14ac:dyDescent="0.55000000000000004">
      <c r="A1216" s="1" t="s">
        <v>1388</v>
      </c>
      <c r="B1216" s="1" t="s">
        <v>128</v>
      </c>
      <c r="C1216" s="1" t="s">
        <v>851</v>
      </c>
      <c r="D1216" s="1" t="str">
        <f t="shared" si="47"/>
        <v xml:space="preserve">059-259-1211  </v>
      </c>
      <c r="E1216" s="1" t="s">
        <v>327</v>
      </c>
    </row>
    <row r="1217" spans="1:5" x14ac:dyDescent="0.55000000000000004">
      <c r="A1217" s="1" t="s">
        <v>1591</v>
      </c>
      <c r="B1217" s="1" t="s">
        <v>128</v>
      </c>
      <c r="C1217" s="1" t="s">
        <v>851</v>
      </c>
      <c r="D1217" s="1" t="str">
        <f t="shared" si="47"/>
        <v xml:space="preserve">059-259-1211  </v>
      </c>
      <c r="E1217" s="1" t="s">
        <v>59</v>
      </c>
    </row>
    <row r="1218" spans="1:5" x14ac:dyDescent="0.55000000000000004">
      <c r="A1218" s="1" t="s">
        <v>1634</v>
      </c>
      <c r="B1218" s="1" t="s">
        <v>128</v>
      </c>
      <c r="C1218" s="1" t="s">
        <v>851</v>
      </c>
      <c r="D1218" s="1" t="str">
        <f t="shared" si="47"/>
        <v xml:space="preserve">059-259-1211  </v>
      </c>
      <c r="E1218" s="1" t="s">
        <v>725</v>
      </c>
    </row>
    <row r="1219" spans="1:5" x14ac:dyDescent="0.55000000000000004">
      <c r="A1219" s="1" t="s">
        <v>1645</v>
      </c>
      <c r="B1219" s="1" t="s">
        <v>128</v>
      </c>
      <c r="C1219" s="1" t="s">
        <v>851</v>
      </c>
      <c r="D1219" s="1" t="str">
        <f t="shared" si="47"/>
        <v xml:space="preserve">059-259-1211  </v>
      </c>
      <c r="E1219" s="1" t="s">
        <v>81</v>
      </c>
    </row>
    <row r="1220" spans="1:5" x14ac:dyDescent="0.55000000000000004">
      <c r="A1220" s="1" t="s">
        <v>1649</v>
      </c>
      <c r="B1220" s="1" t="s">
        <v>128</v>
      </c>
      <c r="C1220" s="1" t="s">
        <v>851</v>
      </c>
      <c r="D1220" s="1" t="str">
        <f t="shared" si="47"/>
        <v xml:space="preserve">059-259-1211  </v>
      </c>
      <c r="E1220" s="1" t="s">
        <v>135</v>
      </c>
    </row>
    <row r="1221" spans="1:5" x14ac:dyDescent="0.55000000000000004">
      <c r="A1221" s="1" t="s">
        <v>2734</v>
      </c>
      <c r="B1221" s="1" t="s">
        <v>128</v>
      </c>
      <c r="C1221" s="1" t="s">
        <v>851</v>
      </c>
      <c r="D1221" s="1" t="str">
        <f t="shared" si="47"/>
        <v xml:space="preserve">059-259-1211  </v>
      </c>
      <c r="E1221" s="1" t="s">
        <v>106</v>
      </c>
    </row>
    <row r="1222" spans="1:5" x14ac:dyDescent="0.55000000000000004">
      <c r="A1222" s="1" t="s">
        <v>2839</v>
      </c>
      <c r="B1222" s="1" t="s">
        <v>128</v>
      </c>
      <c r="C1222" s="1" t="s">
        <v>851</v>
      </c>
      <c r="D1222" s="1" t="str">
        <f t="shared" si="47"/>
        <v xml:space="preserve">059-259-1211  </v>
      </c>
      <c r="E1222" s="1" t="s">
        <v>129</v>
      </c>
    </row>
    <row r="1223" spans="1:5" x14ac:dyDescent="0.55000000000000004">
      <c r="A1223" s="1" t="s">
        <v>2598</v>
      </c>
      <c r="B1223" s="1" t="s">
        <v>128</v>
      </c>
      <c r="C1223" s="1" t="s">
        <v>851</v>
      </c>
      <c r="D1223" s="1" t="str">
        <f t="shared" si="47"/>
        <v xml:space="preserve">059-259-1211  </v>
      </c>
      <c r="E1223" s="1" t="s">
        <v>34</v>
      </c>
    </row>
    <row r="1224" spans="1:5" x14ac:dyDescent="0.55000000000000004">
      <c r="A1224" s="1" t="s">
        <v>2211</v>
      </c>
      <c r="B1224" s="1" t="s">
        <v>128</v>
      </c>
      <c r="C1224" s="1" t="s">
        <v>851</v>
      </c>
      <c r="D1224" s="1" t="str">
        <f t="shared" si="47"/>
        <v xml:space="preserve">059-259-1211  </v>
      </c>
      <c r="E1224" s="1" t="s">
        <v>216</v>
      </c>
    </row>
    <row r="1225" spans="1:5" x14ac:dyDescent="0.55000000000000004">
      <c r="A1225" s="1" t="s">
        <v>2644</v>
      </c>
      <c r="B1225" s="1" t="s">
        <v>128</v>
      </c>
      <c r="C1225" s="1" t="s">
        <v>851</v>
      </c>
      <c r="D1225" s="1" t="str">
        <f t="shared" si="47"/>
        <v xml:space="preserve">059-259-1211  </v>
      </c>
      <c r="E1225" s="1" t="s">
        <v>14</v>
      </c>
    </row>
    <row r="1226" spans="1:5" x14ac:dyDescent="0.55000000000000004">
      <c r="A1226" s="1" t="s">
        <v>2647</v>
      </c>
      <c r="B1226" s="1" t="s">
        <v>128</v>
      </c>
      <c r="C1226" s="1" t="s">
        <v>851</v>
      </c>
      <c r="D1226" s="1" t="str">
        <f t="shared" si="47"/>
        <v xml:space="preserve">059-259-1211  </v>
      </c>
      <c r="E1226" s="1" t="s">
        <v>129</v>
      </c>
    </row>
    <row r="1227" spans="1:5" x14ac:dyDescent="0.55000000000000004">
      <c r="A1227" s="1" t="s">
        <v>1681</v>
      </c>
      <c r="B1227" s="1" t="s">
        <v>128</v>
      </c>
      <c r="C1227" s="1" t="s">
        <v>851</v>
      </c>
      <c r="D1227" s="1" t="str">
        <f t="shared" si="47"/>
        <v xml:space="preserve">059-259-1211  </v>
      </c>
      <c r="E1227" s="1" t="s">
        <v>111</v>
      </c>
    </row>
    <row r="1228" spans="1:5" x14ac:dyDescent="0.55000000000000004">
      <c r="A1228" s="1" t="s">
        <v>1814</v>
      </c>
      <c r="B1228" s="1" t="s">
        <v>128</v>
      </c>
      <c r="C1228" s="1" t="s">
        <v>851</v>
      </c>
      <c r="D1228" s="1" t="str">
        <f t="shared" si="47"/>
        <v xml:space="preserve">059-259-1211  </v>
      </c>
      <c r="E1228" s="1" t="s">
        <v>81</v>
      </c>
    </row>
    <row r="1229" spans="1:5" x14ac:dyDescent="0.55000000000000004">
      <c r="A1229" s="1" t="s">
        <v>1822</v>
      </c>
      <c r="B1229" s="1" t="s">
        <v>128</v>
      </c>
      <c r="C1229" s="1" t="s">
        <v>851</v>
      </c>
      <c r="D1229" s="1" t="str">
        <f t="shared" si="47"/>
        <v xml:space="preserve">059-259-1211  </v>
      </c>
      <c r="E1229" s="1" t="s">
        <v>69</v>
      </c>
    </row>
    <row r="1230" spans="1:5" x14ac:dyDescent="0.55000000000000004">
      <c r="A1230" s="1" t="s">
        <v>1834</v>
      </c>
      <c r="B1230" s="1" t="s">
        <v>128</v>
      </c>
      <c r="C1230" s="1" t="s">
        <v>851</v>
      </c>
      <c r="D1230" s="1" t="str">
        <f t="shared" si="47"/>
        <v xml:space="preserve">059-259-1211  </v>
      </c>
      <c r="E1230" s="1" t="s">
        <v>14</v>
      </c>
    </row>
    <row r="1231" spans="1:5" x14ac:dyDescent="0.55000000000000004">
      <c r="A1231" s="1" t="s">
        <v>2651</v>
      </c>
      <c r="B1231" s="1" t="s">
        <v>128</v>
      </c>
      <c r="C1231" s="1" t="s">
        <v>851</v>
      </c>
      <c r="D1231" s="1" t="str">
        <f t="shared" si="47"/>
        <v xml:space="preserve">059-259-1211  </v>
      </c>
      <c r="E1231" s="1" t="s">
        <v>81</v>
      </c>
    </row>
    <row r="1232" spans="1:5" x14ac:dyDescent="0.55000000000000004">
      <c r="A1232" s="1" t="s">
        <v>1855</v>
      </c>
      <c r="B1232" s="1" t="s">
        <v>128</v>
      </c>
      <c r="C1232" s="1" t="s">
        <v>851</v>
      </c>
      <c r="D1232" s="1" t="str">
        <f t="shared" si="47"/>
        <v xml:space="preserve">059-259-1211  </v>
      </c>
      <c r="E1232" s="1" t="s">
        <v>1854</v>
      </c>
    </row>
    <row r="1233" spans="1:5" x14ac:dyDescent="0.55000000000000004">
      <c r="A1233" s="1" t="s">
        <v>1856</v>
      </c>
      <c r="B1233" s="1" t="s">
        <v>128</v>
      </c>
      <c r="C1233" s="1" t="s">
        <v>851</v>
      </c>
      <c r="D1233" s="1" t="str">
        <f t="shared" si="47"/>
        <v xml:space="preserve">059-259-1211  </v>
      </c>
      <c r="E1233" s="1" t="s">
        <v>1854</v>
      </c>
    </row>
    <row r="1234" spans="1:5" x14ac:dyDescent="0.55000000000000004">
      <c r="A1234" s="1" t="s">
        <v>2686</v>
      </c>
      <c r="B1234" s="1" t="s">
        <v>128</v>
      </c>
      <c r="C1234" s="1" t="s">
        <v>851</v>
      </c>
      <c r="D1234" s="1" t="str">
        <f t="shared" si="47"/>
        <v xml:space="preserve">059-259-1211  </v>
      </c>
      <c r="E1234" s="1" t="s">
        <v>135</v>
      </c>
    </row>
    <row r="1235" spans="1:5" x14ac:dyDescent="0.55000000000000004">
      <c r="A1235" s="1" t="s">
        <v>1989</v>
      </c>
      <c r="B1235" s="1" t="s">
        <v>3099</v>
      </c>
      <c r="C1235" s="1" t="s">
        <v>851</v>
      </c>
      <c r="D1235" s="1" t="str">
        <f t="shared" si="47"/>
        <v xml:space="preserve">059-259-1211  </v>
      </c>
      <c r="E1235" s="1" t="s">
        <v>34</v>
      </c>
    </row>
    <row r="1236" spans="1:5" x14ac:dyDescent="0.55000000000000004">
      <c r="A1236" s="1" t="s">
        <v>2339</v>
      </c>
      <c r="B1236" s="1" t="s">
        <v>3100</v>
      </c>
      <c r="C1236" s="1" t="s">
        <v>826</v>
      </c>
      <c r="D1236" s="1" t="str">
        <f t="shared" ref="D1236:D1262" si="48">"059-232-2531  "</f>
        <v xml:space="preserve">059-232-2531  </v>
      </c>
      <c r="E1236" s="1" t="s">
        <v>135</v>
      </c>
    </row>
    <row r="1237" spans="1:5" x14ac:dyDescent="0.55000000000000004">
      <c r="A1237" s="1" t="s">
        <v>2275</v>
      </c>
      <c r="B1237" s="1" t="s">
        <v>825</v>
      </c>
      <c r="C1237" s="1" t="s">
        <v>826</v>
      </c>
      <c r="D1237" s="1" t="str">
        <f t="shared" si="48"/>
        <v xml:space="preserve">059-232-2531  </v>
      </c>
      <c r="E1237" s="1" t="s">
        <v>135</v>
      </c>
    </row>
    <row r="1238" spans="1:5" x14ac:dyDescent="0.55000000000000004">
      <c r="A1238" s="1" t="s">
        <v>2505</v>
      </c>
      <c r="B1238" s="1" t="s">
        <v>825</v>
      </c>
      <c r="C1238" s="1" t="s">
        <v>826</v>
      </c>
      <c r="D1238" s="1" t="str">
        <f t="shared" si="48"/>
        <v xml:space="preserve">059-232-2531  </v>
      </c>
      <c r="E1238" s="1" t="s">
        <v>135</v>
      </c>
    </row>
    <row r="1239" spans="1:5" x14ac:dyDescent="0.55000000000000004">
      <c r="A1239" s="1" t="s">
        <v>2508</v>
      </c>
      <c r="B1239" s="1" t="s">
        <v>825</v>
      </c>
      <c r="C1239" s="1" t="s">
        <v>826</v>
      </c>
      <c r="D1239" s="1" t="str">
        <f t="shared" si="48"/>
        <v xml:space="preserve">059-232-2531  </v>
      </c>
      <c r="E1239" s="1" t="s">
        <v>135</v>
      </c>
    </row>
    <row r="1240" spans="1:5" x14ac:dyDescent="0.55000000000000004">
      <c r="A1240" s="1" t="s">
        <v>2538</v>
      </c>
      <c r="B1240" s="1" t="s">
        <v>825</v>
      </c>
      <c r="C1240" s="1" t="s">
        <v>826</v>
      </c>
      <c r="D1240" s="1" t="str">
        <f t="shared" si="48"/>
        <v xml:space="preserve">059-232-2531  </v>
      </c>
      <c r="E1240" s="1" t="s">
        <v>135</v>
      </c>
    </row>
    <row r="1241" spans="1:5" x14ac:dyDescent="0.55000000000000004">
      <c r="A1241" s="1" t="s">
        <v>2150</v>
      </c>
      <c r="B1241" s="1" t="s">
        <v>825</v>
      </c>
      <c r="C1241" s="1" t="s">
        <v>826</v>
      </c>
      <c r="D1241" s="1" t="str">
        <f t="shared" si="48"/>
        <v xml:space="preserve">059-232-2531  </v>
      </c>
      <c r="E1241" s="1" t="s">
        <v>135</v>
      </c>
    </row>
    <row r="1242" spans="1:5" x14ac:dyDescent="0.55000000000000004">
      <c r="A1242" s="1" t="s">
        <v>824</v>
      </c>
      <c r="B1242" s="1" t="s">
        <v>825</v>
      </c>
      <c r="C1242" s="1" t="s">
        <v>826</v>
      </c>
      <c r="D1242" s="1" t="str">
        <f t="shared" si="48"/>
        <v xml:space="preserve">059-232-2531  </v>
      </c>
      <c r="E1242" s="1" t="s">
        <v>326</v>
      </c>
    </row>
    <row r="1243" spans="1:5" x14ac:dyDescent="0.55000000000000004">
      <c r="A1243" s="1" t="s">
        <v>828</v>
      </c>
      <c r="B1243" s="1" t="s">
        <v>825</v>
      </c>
      <c r="C1243" s="1" t="s">
        <v>826</v>
      </c>
      <c r="D1243" s="1" t="str">
        <f t="shared" si="48"/>
        <v xml:space="preserve">059-232-2531  </v>
      </c>
      <c r="E1243" s="1" t="s">
        <v>6</v>
      </c>
    </row>
    <row r="1244" spans="1:5" x14ac:dyDescent="0.55000000000000004">
      <c r="A1244" s="1" t="s">
        <v>829</v>
      </c>
      <c r="B1244" s="1" t="s">
        <v>825</v>
      </c>
      <c r="C1244" s="1" t="s">
        <v>826</v>
      </c>
      <c r="D1244" s="1" t="str">
        <f t="shared" si="48"/>
        <v xml:space="preserve">059-232-2531  </v>
      </c>
      <c r="E1244" s="1" t="s">
        <v>22</v>
      </c>
    </row>
    <row r="1245" spans="1:5" x14ac:dyDescent="0.55000000000000004">
      <c r="A1245" s="1" t="s">
        <v>830</v>
      </c>
      <c r="B1245" s="1" t="s">
        <v>825</v>
      </c>
      <c r="C1245" s="1" t="s">
        <v>826</v>
      </c>
      <c r="D1245" s="1" t="str">
        <f t="shared" si="48"/>
        <v xml:space="preserve">059-232-2531  </v>
      </c>
      <c r="E1245" s="1" t="s">
        <v>135</v>
      </c>
    </row>
    <row r="1246" spans="1:5" x14ac:dyDescent="0.55000000000000004">
      <c r="A1246" s="1" t="s">
        <v>831</v>
      </c>
      <c r="B1246" s="1" t="s">
        <v>825</v>
      </c>
      <c r="C1246" s="1" t="s">
        <v>826</v>
      </c>
      <c r="D1246" s="1" t="str">
        <f t="shared" si="48"/>
        <v xml:space="preserve">059-232-2531  </v>
      </c>
      <c r="E1246" s="1" t="s">
        <v>135</v>
      </c>
    </row>
    <row r="1247" spans="1:5" x14ac:dyDescent="0.55000000000000004">
      <c r="A1247" s="1" t="s">
        <v>832</v>
      </c>
      <c r="B1247" s="1" t="s">
        <v>825</v>
      </c>
      <c r="C1247" s="1" t="s">
        <v>826</v>
      </c>
      <c r="D1247" s="1" t="str">
        <f t="shared" si="48"/>
        <v xml:space="preserve">059-232-2531  </v>
      </c>
      <c r="E1247" s="1" t="s">
        <v>135</v>
      </c>
    </row>
    <row r="1248" spans="1:5" x14ac:dyDescent="0.55000000000000004">
      <c r="A1248" s="1" t="s">
        <v>833</v>
      </c>
      <c r="B1248" s="1" t="s">
        <v>825</v>
      </c>
      <c r="C1248" s="1" t="s">
        <v>826</v>
      </c>
      <c r="D1248" s="1" t="str">
        <f t="shared" si="48"/>
        <v xml:space="preserve">059-232-2531  </v>
      </c>
      <c r="E1248" s="1" t="s">
        <v>135</v>
      </c>
    </row>
    <row r="1249" spans="1:5" x14ac:dyDescent="0.55000000000000004">
      <c r="A1249" s="1" t="s">
        <v>834</v>
      </c>
      <c r="B1249" s="1" t="s">
        <v>825</v>
      </c>
      <c r="C1249" s="1" t="s">
        <v>826</v>
      </c>
      <c r="D1249" s="1" t="str">
        <f t="shared" si="48"/>
        <v xml:space="preserve">059-232-2531  </v>
      </c>
      <c r="E1249" s="1" t="s">
        <v>14</v>
      </c>
    </row>
    <row r="1250" spans="1:5" x14ac:dyDescent="0.55000000000000004">
      <c r="A1250" s="1" t="s">
        <v>835</v>
      </c>
      <c r="B1250" s="1" t="s">
        <v>825</v>
      </c>
      <c r="C1250" s="1" t="s">
        <v>826</v>
      </c>
      <c r="D1250" s="1" t="str">
        <f t="shared" si="48"/>
        <v xml:space="preserve">059-232-2531  </v>
      </c>
      <c r="E1250" s="1" t="s">
        <v>135</v>
      </c>
    </row>
    <row r="1251" spans="1:5" x14ac:dyDescent="0.55000000000000004">
      <c r="A1251" s="1" t="s">
        <v>836</v>
      </c>
      <c r="B1251" s="1" t="s">
        <v>825</v>
      </c>
      <c r="C1251" s="1" t="s">
        <v>826</v>
      </c>
      <c r="D1251" s="1" t="str">
        <f t="shared" si="48"/>
        <v xml:space="preserve">059-232-2531  </v>
      </c>
      <c r="E1251" s="1" t="s">
        <v>135</v>
      </c>
    </row>
    <row r="1252" spans="1:5" x14ac:dyDescent="0.55000000000000004">
      <c r="A1252" s="1" t="s">
        <v>838</v>
      </c>
      <c r="B1252" s="1" t="s">
        <v>825</v>
      </c>
      <c r="C1252" s="1" t="s">
        <v>826</v>
      </c>
      <c r="D1252" s="1" t="str">
        <f t="shared" si="48"/>
        <v xml:space="preserve">059-232-2531  </v>
      </c>
      <c r="E1252" s="1" t="s">
        <v>135</v>
      </c>
    </row>
    <row r="1253" spans="1:5" x14ac:dyDescent="0.55000000000000004">
      <c r="A1253" s="1" t="s">
        <v>842</v>
      </c>
      <c r="B1253" s="1" t="s">
        <v>825</v>
      </c>
      <c r="C1253" s="1" t="s">
        <v>826</v>
      </c>
      <c r="D1253" s="1" t="str">
        <f t="shared" si="48"/>
        <v xml:space="preserve">059-232-2531  </v>
      </c>
      <c r="E1253" s="1" t="s">
        <v>135</v>
      </c>
    </row>
    <row r="1254" spans="1:5" x14ac:dyDescent="0.55000000000000004">
      <c r="A1254" s="1" t="s">
        <v>847</v>
      </c>
      <c r="B1254" s="1" t="s">
        <v>825</v>
      </c>
      <c r="C1254" s="1" t="s">
        <v>826</v>
      </c>
      <c r="D1254" s="1" t="str">
        <f t="shared" si="48"/>
        <v xml:space="preserve">059-232-2531  </v>
      </c>
      <c r="E1254" s="1" t="s">
        <v>326</v>
      </c>
    </row>
    <row r="1255" spans="1:5" x14ac:dyDescent="0.55000000000000004">
      <c r="A1255" s="1" t="s">
        <v>867</v>
      </c>
      <c r="B1255" s="1" t="s">
        <v>825</v>
      </c>
      <c r="C1255" s="1" t="s">
        <v>826</v>
      </c>
      <c r="D1255" s="1" t="str">
        <f t="shared" si="48"/>
        <v xml:space="preserve">059-232-2531  </v>
      </c>
      <c r="E1255" s="1" t="s">
        <v>131</v>
      </c>
    </row>
    <row r="1256" spans="1:5" x14ac:dyDescent="0.55000000000000004">
      <c r="A1256" s="1" t="s">
        <v>2872</v>
      </c>
      <c r="B1256" s="1" t="s">
        <v>825</v>
      </c>
      <c r="C1256" s="1" t="s">
        <v>826</v>
      </c>
      <c r="D1256" s="1" t="str">
        <f t="shared" si="48"/>
        <v xml:space="preserve">059-232-2531  </v>
      </c>
      <c r="E1256" s="1" t="s">
        <v>131</v>
      </c>
    </row>
    <row r="1257" spans="1:5" x14ac:dyDescent="0.55000000000000004">
      <c r="A1257" s="1" t="s">
        <v>1359</v>
      </c>
      <c r="B1257" s="1" t="s">
        <v>825</v>
      </c>
      <c r="C1257" s="1" t="s">
        <v>826</v>
      </c>
      <c r="D1257" s="1" t="str">
        <f t="shared" si="48"/>
        <v xml:space="preserve">059-232-2531  </v>
      </c>
      <c r="E1257" s="1" t="s">
        <v>131</v>
      </c>
    </row>
    <row r="1258" spans="1:5" x14ac:dyDescent="0.55000000000000004">
      <c r="A1258" s="1" t="s">
        <v>2173</v>
      </c>
      <c r="B1258" s="1" t="s">
        <v>825</v>
      </c>
      <c r="C1258" s="1" t="s">
        <v>826</v>
      </c>
      <c r="D1258" s="1" t="str">
        <f t="shared" si="48"/>
        <v xml:space="preserve">059-232-2531  </v>
      </c>
      <c r="E1258" s="1" t="s">
        <v>6</v>
      </c>
    </row>
    <row r="1259" spans="1:5" x14ac:dyDescent="0.55000000000000004">
      <c r="A1259" s="1" t="s">
        <v>2203</v>
      </c>
      <c r="B1259" s="1" t="s">
        <v>825</v>
      </c>
      <c r="C1259" s="1" t="s">
        <v>826</v>
      </c>
      <c r="D1259" s="1" t="str">
        <f t="shared" si="48"/>
        <v xml:space="preserve">059-232-2531  </v>
      </c>
      <c r="E1259" s="1" t="s">
        <v>135</v>
      </c>
    </row>
    <row r="1260" spans="1:5" x14ac:dyDescent="0.55000000000000004">
      <c r="A1260" s="1" t="s">
        <v>2648</v>
      </c>
      <c r="B1260" s="1" t="s">
        <v>825</v>
      </c>
      <c r="C1260" s="1" t="s">
        <v>826</v>
      </c>
      <c r="D1260" s="1" t="str">
        <f t="shared" si="48"/>
        <v xml:space="preserve">059-232-2531  </v>
      </c>
      <c r="E1260" s="1" t="s">
        <v>135</v>
      </c>
    </row>
    <row r="1261" spans="1:5" x14ac:dyDescent="0.55000000000000004">
      <c r="A1261" s="1" t="s">
        <v>1715</v>
      </c>
      <c r="B1261" s="1" t="s">
        <v>825</v>
      </c>
      <c r="C1261" s="1" t="s">
        <v>826</v>
      </c>
      <c r="D1261" s="1" t="str">
        <f t="shared" si="48"/>
        <v xml:space="preserve">059-232-2531  </v>
      </c>
      <c r="E1261" s="1" t="s">
        <v>135</v>
      </c>
    </row>
    <row r="1262" spans="1:5" x14ac:dyDescent="0.55000000000000004">
      <c r="A1262" s="1" t="s">
        <v>2694</v>
      </c>
      <c r="B1262" s="1" t="s">
        <v>3100</v>
      </c>
      <c r="C1262" s="1" t="s">
        <v>826</v>
      </c>
      <c r="D1262" s="1" t="str">
        <f t="shared" si="48"/>
        <v xml:space="preserve">059-232-2531  </v>
      </c>
      <c r="E1262" s="1" t="s">
        <v>131</v>
      </c>
    </row>
    <row r="1263" spans="1:5" x14ac:dyDescent="0.55000000000000004">
      <c r="A1263" s="1" t="s">
        <v>1204</v>
      </c>
      <c r="B1263" s="1" t="s">
        <v>1205</v>
      </c>
      <c r="C1263" s="1" t="str">
        <f>"津市一志町田尻30-10"</f>
        <v>津市一志町田尻30-10</v>
      </c>
      <c r="D1263" s="1" t="str">
        <f>"059-293-6260  "</f>
        <v xml:space="preserve">059-293-6260  </v>
      </c>
      <c r="E1263" s="1" t="s">
        <v>10</v>
      </c>
    </row>
    <row r="1264" spans="1:5" x14ac:dyDescent="0.55000000000000004">
      <c r="A1264" s="1" t="s">
        <v>356</v>
      </c>
      <c r="B1264" s="1" t="s">
        <v>357</v>
      </c>
      <c r="C1264" s="1" t="s">
        <v>358</v>
      </c>
      <c r="D1264" s="1" t="str">
        <f>"059-228-6521  "</f>
        <v xml:space="preserve">059-228-6521  </v>
      </c>
      <c r="E1264" s="1" t="s">
        <v>34</v>
      </c>
    </row>
    <row r="1265" spans="1:5" x14ac:dyDescent="0.55000000000000004">
      <c r="A1265" s="1" t="s">
        <v>158</v>
      </c>
      <c r="B1265" s="1" t="s">
        <v>159</v>
      </c>
      <c r="C1265" s="1" t="str">
        <f>"津市長岡町3018-3"</f>
        <v>津市長岡町3018-3</v>
      </c>
      <c r="D1265" s="1" t="str">
        <f>"059-213-5111  "</f>
        <v xml:space="preserve">059-213-5111  </v>
      </c>
      <c r="E1265" s="1" t="s">
        <v>6</v>
      </c>
    </row>
    <row r="1266" spans="1:5" x14ac:dyDescent="0.55000000000000004">
      <c r="A1266" s="1" t="s">
        <v>1752</v>
      </c>
      <c r="B1266" s="1" t="s">
        <v>1753</v>
      </c>
      <c r="C1266" s="1" t="str">
        <f>"津市河芸町東千里111-1"</f>
        <v>津市河芸町東千里111-1</v>
      </c>
      <c r="D1266" s="1" t="str">
        <f>"059-244-2222  "</f>
        <v xml:space="preserve">059-244-2222  </v>
      </c>
      <c r="E1266" s="1" t="s">
        <v>1754</v>
      </c>
    </row>
    <row r="1267" spans="1:5" x14ac:dyDescent="0.55000000000000004">
      <c r="A1267" s="1" t="s">
        <v>86</v>
      </c>
      <c r="B1267" s="1" t="s">
        <v>87</v>
      </c>
      <c r="C1267" s="1" t="s">
        <v>3084</v>
      </c>
      <c r="D1267" s="1" t="str">
        <f>"0598-31-3480  "</f>
        <v xml:space="preserve">0598-31-3480  </v>
      </c>
      <c r="E1267" s="1" t="s">
        <v>2995</v>
      </c>
    </row>
    <row r="1268" spans="1:5" x14ac:dyDescent="0.55000000000000004">
      <c r="A1268" s="1" t="s">
        <v>648</v>
      </c>
      <c r="B1268" s="1" t="s">
        <v>649</v>
      </c>
      <c r="C1268" s="1" t="str">
        <f>"松阪市嬉野中川町843-7"</f>
        <v>松阪市嬉野中川町843-7</v>
      </c>
      <c r="D1268" s="1" t="str">
        <f>"0598-42-8886  "</f>
        <v xml:space="preserve">0598-42-8886  </v>
      </c>
      <c r="E1268" s="1" t="s">
        <v>10</v>
      </c>
    </row>
    <row r="1269" spans="1:5" x14ac:dyDescent="0.55000000000000004">
      <c r="A1269" s="1" t="s">
        <v>771</v>
      </c>
      <c r="B1269" s="1" t="s">
        <v>772</v>
      </c>
      <c r="C1269" s="1" t="str">
        <f>"松阪市嬉野算所町515-1"</f>
        <v>松阪市嬉野算所町515-1</v>
      </c>
      <c r="D1269" s="1" t="str">
        <f>"0598-42-8088  "</f>
        <v xml:space="preserve">0598-42-8088  </v>
      </c>
      <c r="E1269" s="1" t="s">
        <v>773</v>
      </c>
    </row>
    <row r="1270" spans="1:5" x14ac:dyDescent="0.55000000000000004">
      <c r="A1270" s="1" t="s">
        <v>2802</v>
      </c>
      <c r="B1270" s="1" t="s">
        <v>772</v>
      </c>
      <c r="C1270" s="1" t="str">
        <f>"松阪市嬉野算所町515-1"</f>
        <v>松阪市嬉野算所町515-1</v>
      </c>
      <c r="D1270" s="1" t="str">
        <f>"0598-42-8088  "</f>
        <v xml:space="preserve">0598-42-8088  </v>
      </c>
      <c r="E1270" s="1" t="s">
        <v>34</v>
      </c>
    </row>
    <row r="1271" spans="1:5" x14ac:dyDescent="0.55000000000000004">
      <c r="A1271" s="1" t="s">
        <v>2828</v>
      </c>
      <c r="B1271" s="1" t="s">
        <v>476</v>
      </c>
      <c r="C1271" s="1" t="s">
        <v>3069</v>
      </c>
      <c r="D1271" s="1" t="str">
        <f>"0598-29-1213  "</f>
        <v xml:space="preserve">0598-29-1213  </v>
      </c>
      <c r="E1271" s="1" t="s">
        <v>2829</v>
      </c>
    </row>
    <row r="1272" spans="1:5" x14ac:dyDescent="0.55000000000000004">
      <c r="A1272" s="1" t="s">
        <v>475</v>
      </c>
      <c r="B1272" s="1" t="s">
        <v>476</v>
      </c>
      <c r="C1272" s="1" t="s">
        <v>477</v>
      </c>
      <c r="D1272" s="1" t="str">
        <f>"0598-29-1213  "</f>
        <v xml:space="preserve">0598-29-1213  </v>
      </c>
      <c r="E1272" s="1" t="s">
        <v>6</v>
      </c>
    </row>
    <row r="1273" spans="1:5" x14ac:dyDescent="0.55000000000000004">
      <c r="A1273" s="1" t="s">
        <v>3043</v>
      </c>
      <c r="B1273" s="1" t="s">
        <v>3044</v>
      </c>
      <c r="C1273" s="1" t="s">
        <v>3045</v>
      </c>
      <c r="D1273" s="1" t="str">
        <f>"0598-20-8320  "</f>
        <v xml:space="preserve">0598-20-8320  </v>
      </c>
      <c r="E1273" s="1" t="s">
        <v>3046</v>
      </c>
    </row>
    <row r="1274" spans="1:5" x14ac:dyDescent="0.55000000000000004">
      <c r="A1274" s="1" t="s">
        <v>398</v>
      </c>
      <c r="B1274" s="1" t="s">
        <v>399</v>
      </c>
      <c r="C1274" s="1" t="s">
        <v>400</v>
      </c>
      <c r="D1274" s="1" t="str">
        <f>"0598-21-5222  "</f>
        <v xml:space="preserve">0598-21-5222  </v>
      </c>
      <c r="E1274" s="1" t="s">
        <v>34</v>
      </c>
    </row>
    <row r="1275" spans="1:5" x14ac:dyDescent="0.55000000000000004">
      <c r="A1275" s="1" t="s">
        <v>1762</v>
      </c>
      <c r="B1275" s="1" t="s">
        <v>1763</v>
      </c>
      <c r="C1275" s="1" t="str">
        <f>"松阪市嬉野中川町822-5"</f>
        <v>松阪市嬉野中川町822-5</v>
      </c>
      <c r="D1275" s="1" t="str">
        <f>"0598-48-2222  "</f>
        <v xml:space="preserve">0598-48-2222  </v>
      </c>
      <c r="E1275" s="1" t="s">
        <v>78</v>
      </c>
    </row>
    <row r="1276" spans="1:5" x14ac:dyDescent="0.55000000000000004">
      <c r="A1276" s="1" t="s">
        <v>441</v>
      </c>
      <c r="B1276" s="1" t="s">
        <v>442</v>
      </c>
      <c r="C1276" s="1" t="s">
        <v>443</v>
      </c>
      <c r="D1276" s="1" t="str">
        <f>"0598-25-5700  "</f>
        <v xml:space="preserve">0598-25-5700  </v>
      </c>
      <c r="E1276" s="1" t="s">
        <v>14</v>
      </c>
    </row>
    <row r="1277" spans="1:5" x14ac:dyDescent="0.55000000000000004">
      <c r="A1277" s="1" t="s">
        <v>2657</v>
      </c>
      <c r="B1277" s="1" t="s">
        <v>2658</v>
      </c>
      <c r="C1277" s="1" t="s">
        <v>2659</v>
      </c>
      <c r="D1277" s="1" t="s">
        <v>5</v>
      </c>
      <c r="E1277" s="1" t="s">
        <v>233</v>
      </c>
    </row>
    <row r="1278" spans="1:5" x14ac:dyDescent="0.55000000000000004">
      <c r="A1278" s="1" t="s">
        <v>3064</v>
      </c>
      <c r="B1278" s="1" t="s">
        <v>2658</v>
      </c>
      <c r="C1278" s="1" t="s">
        <v>2659</v>
      </c>
      <c r="D1278" s="1" t="str">
        <f>"0598-31-2520  "</f>
        <v xml:space="preserve">0598-31-2520  </v>
      </c>
      <c r="E1278" s="1" t="s">
        <v>6</v>
      </c>
    </row>
    <row r="1279" spans="1:5" x14ac:dyDescent="0.55000000000000004">
      <c r="A1279" s="1" t="s">
        <v>291</v>
      </c>
      <c r="B1279" s="1" t="s">
        <v>292</v>
      </c>
      <c r="C1279" s="1" t="s">
        <v>293</v>
      </c>
      <c r="D1279" s="1" t="str">
        <f>"0598-50-2888  "</f>
        <v xml:space="preserve">0598-50-2888  </v>
      </c>
      <c r="E1279" s="1" t="s">
        <v>233</v>
      </c>
    </row>
    <row r="1280" spans="1:5" x14ac:dyDescent="0.55000000000000004">
      <c r="A1280" s="1" t="s">
        <v>2168</v>
      </c>
      <c r="B1280" s="1" t="s">
        <v>2169</v>
      </c>
      <c r="C1280" s="1" t="str">
        <f>"松阪市嬉野算所町字遊開515-1"</f>
        <v>松阪市嬉野算所町字遊開515-1</v>
      </c>
      <c r="D1280" s="1" t="str">
        <f>"0598-42-8088  "</f>
        <v xml:space="preserve">0598-42-8088  </v>
      </c>
      <c r="E1280" s="1" t="s">
        <v>2170</v>
      </c>
    </row>
    <row r="1281" spans="1:5" x14ac:dyDescent="0.55000000000000004">
      <c r="A1281" s="1" t="s">
        <v>498</v>
      </c>
      <c r="B1281" s="1" t="s">
        <v>499</v>
      </c>
      <c r="C1281" s="1" t="s">
        <v>500</v>
      </c>
      <c r="D1281" s="1" t="str">
        <f>"0598-60-0708  "</f>
        <v xml:space="preserve">0598-60-0708  </v>
      </c>
      <c r="E1281" s="1" t="s">
        <v>135</v>
      </c>
    </row>
    <row r="1282" spans="1:5" x14ac:dyDescent="0.55000000000000004">
      <c r="A1282" s="1" t="s">
        <v>1741</v>
      </c>
      <c r="B1282" s="1" t="s">
        <v>1742</v>
      </c>
      <c r="C1282" s="1" t="str">
        <f>"松阪市駅部田町752-1"</f>
        <v>松阪市駅部田町752-1</v>
      </c>
      <c r="D1282" s="1" t="str">
        <f>"0598-25-1080  "</f>
        <v xml:space="preserve">0598-25-1080  </v>
      </c>
      <c r="E1282" s="1" t="s">
        <v>1743</v>
      </c>
    </row>
    <row r="1283" spans="1:5" x14ac:dyDescent="0.55000000000000004">
      <c r="A1283" s="1" t="s">
        <v>1397</v>
      </c>
      <c r="B1283" s="1" t="s">
        <v>1398</v>
      </c>
      <c r="C1283" s="1" t="str">
        <f>"松阪市川井町969-3"</f>
        <v>松阪市川井町969-3</v>
      </c>
      <c r="D1283" s="1" t="str">
        <f>"0598-25-1810  "</f>
        <v xml:space="preserve">0598-25-1810  </v>
      </c>
      <c r="E1283" s="1" t="s">
        <v>12</v>
      </c>
    </row>
    <row r="1284" spans="1:5" x14ac:dyDescent="0.55000000000000004">
      <c r="A1284" s="1" t="s">
        <v>2789</v>
      </c>
      <c r="B1284" s="1" t="s">
        <v>2790</v>
      </c>
      <c r="C1284" s="1" t="str">
        <f>"松阪市松崎浦町96-1"</f>
        <v>松阪市松崎浦町96-1</v>
      </c>
      <c r="D1284" s="1" t="str">
        <f>"0598-51-1775  "</f>
        <v xml:space="preserve">0598-51-1775  </v>
      </c>
      <c r="E1284" s="1" t="s">
        <v>78</v>
      </c>
    </row>
    <row r="1285" spans="1:5" x14ac:dyDescent="0.55000000000000004">
      <c r="A1285" s="1" t="s">
        <v>650</v>
      </c>
      <c r="B1285" s="1" t="s">
        <v>651</v>
      </c>
      <c r="C1285" s="1" t="str">
        <f>"松阪市嬉野小村町522-2"</f>
        <v>松阪市嬉野小村町522-2</v>
      </c>
      <c r="D1285" s="1" t="str">
        <f>"0598-42-2366  "</f>
        <v xml:space="preserve">0598-42-2366  </v>
      </c>
      <c r="E1285" s="1" t="s">
        <v>652</v>
      </c>
    </row>
    <row r="1286" spans="1:5" x14ac:dyDescent="0.55000000000000004">
      <c r="A1286" s="1" t="s">
        <v>1107</v>
      </c>
      <c r="B1286" s="1" t="s">
        <v>1108</v>
      </c>
      <c r="C1286" s="1" t="s">
        <v>1109</v>
      </c>
      <c r="D1286" s="1" t="str">
        <f>"0598-20-8920  "</f>
        <v xml:space="preserve">0598-20-8920  </v>
      </c>
      <c r="E1286" s="1" t="s">
        <v>111</v>
      </c>
    </row>
    <row r="1287" spans="1:5" x14ac:dyDescent="0.55000000000000004">
      <c r="A1287" s="1" t="s">
        <v>488</v>
      </c>
      <c r="B1287" s="1" t="s">
        <v>489</v>
      </c>
      <c r="C1287" s="1" t="s">
        <v>490</v>
      </c>
      <c r="D1287" s="1" t="str">
        <f>"0598-21-0005  "</f>
        <v xml:space="preserve">0598-21-0005  </v>
      </c>
      <c r="E1287" s="1" t="s">
        <v>491</v>
      </c>
    </row>
    <row r="1288" spans="1:5" x14ac:dyDescent="0.55000000000000004">
      <c r="A1288" s="1" t="s">
        <v>366</v>
      </c>
      <c r="B1288" s="1" t="s">
        <v>367</v>
      </c>
      <c r="C1288" s="1" t="str">
        <f>"松阪市下村町1843-6"</f>
        <v>松阪市下村町1843-6</v>
      </c>
      <c r="D1288" s="1" t="str">
        <f>"0598-60-0277  "</f>
        <v xml:space="preserve">0598-60-0277  </v>
      </c>
      <c r="E1288" s="1" t="s">
        <v>34</v>
      </c>
    </row>
    <row r="1289" spans="1:5" x14ac:dyDescent="0.55000000000000004">
      <c r="A1289" s="1" t="s">
        <v>585</v>
      </c>
      <c r="B1289" s="1" t="s">
        <v>586</v>
      </c>
      <c r="C1289" s="1" t="str">
        <f>"松阪市嬉野中川新町1-6"</f>
        <v>松阪市嬉野中川新町1-6</v>
      </c>
      <c r="D1289" s="1" t="str">
        <f>"0598-42-7211  "</f>
        <v xml:space="preserve">0598-42-7211  </v>
      </c>
      <c r="E1289" s="1" t="s">
        <v>587</v>
      </c>
    </row>
    <row r="1290" spans="1:5" x14ac:dyDescent="0.55000000000000004">
      <c r="A1290" s="1" t="s">
        <v>2782</v>
      </c>
      <c r="B1290" s="1" t="s">
        <v>586</v>
      </c>
      <c r="C1290" s="1" t="str">
        <f>"松阪市嬉野中川新町1-6"</f>
        <v>松阪市嬉野中川新町1-6</v>
      </c>
      <c r="D1290" s="1" t="str">
        <f>"0598-42-7211  "</f>
        <v xml:space="preserve">0598-42-7211  </v>
      </c>
      <c r="E1290" s="1" t="s">
        <v>2783</v>
      </c>
    </row>
    <row r="1291" spans="1:5" x14ac:dyDescent="0.55000000000000004">
      <c r="A1291" s="1" t="s">
        <v>2818</v>
      </c>
      <c r="B1291" s="1" t="s">
        <v>2819</v>
      </c>
      <c r="C1291" s="1" t="s">
        <v>3079</v>
      </c>
      <c r="D1291" s="1" t="str">
        <f>"0598-60-0700  "</f>
        <v xml:space="preserve">0598-60-0700  </v>
      </c>
      <c r="E1291" s="1" t="s">
        <v>2975</v>
      </c>
    </row>
    <row r="1292" spans="1:5" x14ac:dyDescent="0.55000000000000004">
      <c r="A1292" s="1" t="s">
        <v>2940</v>
      </c>
      <c r="B1292" s="1" t="s">
        <v>2767</v>
      </c>
      <c r="C1292" s="1" t="str">
        <f>"松阪市南町443-4"</f>
        <v>松阪市南町443-4</v>
      </c>
      <c r="D1292" s="1" t="str">
        <f>"0598-21-5522  "</f>
        <v xml:space="preserve">0598-21-5522  </v>
      </c>
      <c r="E1292" s="1" t="s">
        <v>6</v>
      </c>
    </row>
    <row r="1293" spans="1:5" x14ac:dyDescent="0.55000000000000004">
      <c r="A1293" s="1" t="s">
        <v>2766</v>
      </c>
      <c r="B1293" s="1" t="s">
        <v>2767</v>
      </c>
      <c r="C1293" s="1" t="str">
        <f>"松阪市南町443-4"</f>
        <v>松阪市南町443-4</v>
      </c>
      <c r="D1293" s="1" t="str">
        <f>"0598-21-5522  "</f>
        <v xml:space="preserve">0598-21-5522  </v>
      </c>
      <c r="E1293" s="1" t="s">
        <v>2768</v>
      </c>
    </row>
    <row r="1294" spans="1:5" x14ac:dyDescent="0.55000000000000004">
      <c r="A1294" s="1" t="s">
        <v>2808</v>
      </c>
      <c r="B1294" s="1" t="s">
        <v>2809</v>
      </c>
      <c r="C1294" s="1" t="s">
        <v>2810</v>
      </c>
      <c r="D1294" s="1" t="str">
        <f>"0598-48-0777  "</f>
        <v xml:space="preserve">0598-48-0777  </v>
      </c>
      <c r="E1294" s="1" t="s">
        <v>7</v>
      </c>
    </row>
    <row r="1295" spans="1:5" x14ac:dyDescent="0.55000000000000004">
      <c r="A1295" s="1" t="s">
        <v>2948</v>
      </c>
      <c r="B1295" s="1" t="s">
        <v>2809</v>
      </c>
      <c r="C1295" s="1" t="s">
        <v>2810</v>
      </c>
      <c r="D1295" s="1" t="str">
        <f>"0598-48-0777  "</f>
        <v xml:space="preserve">0598-48-0777  </v>
      </c>
      <c r="E1295" s="1" t="s">
        <v>2949</v>
      </c>
    </row>
    <row r="1296" spans="1:5" x14ac:dyDescent="0.55000000000000004">
      <c r="A1296" s="1" t="s">
        <v>560</v>
      </c>
      <c r="B1296" s="1" t="s">
        <v>561</v>
      </c>
      <c r="C1296" s="1" t="str">
        <f>"松阪市南町238-1"</f>
        <v>松阪市南町238-1</v>
      </c>
      <c r="D1296" s="1" t="str">
        <f>"0598-26-0600  "</f>
        <v xml:space="preserve">0598-26-0600  </v>
      </c>
      <c r="E1296" s="1" t="s">
        <v>10</v>
      </c>
    </row>
    <row r="1297" spans="1:5" x14ac:dyDescent="0.55000000000000004">
      <c r="A1297" s="1" t="s">
        <v>1774</v>
      </c>
      <c r="B1297" s="1" t="s">
        <v>561</v>
      </c>
      <c r="C1297" s="1" t="str">
        <f>"松阪市南町238-1"</f>
        <v>松阪市南町238-1</v>
      </c>
      <c r="D1297" s="1" t="str">
        <f>"0598-26-0600  "</f>
        <v xml:space="preserve">0598-26-0600  </v>
      </c>
      <c r="E1297" s="1" t="s">
        <v>10</v>
      </c>
    </row>
    <row r="1298" spans="1:5" x14ac:dyDescent="0.55000000000000004">
      <c r="A1298" s="1" t="s">
        <v>910</v>
      </c>
      <c r="B1298" s="1" t="s">
        <v>911</v>
      </c>
      <c r="C1298" s="1" t="str">
        <f>"松阪市垣鼻町1761-23"</f>
        <v>松阪市垣鼻町1761-23</v>
      </c>
      <c r="D1298" s="1" t="str">
        <f>"0598-25-1024  "</f>
        <v xml:space="preserve">0598-25-1024  </v>
      </c>
      <c r="E1298" s="1" t="s">
        <v>912</v>
      </c>
    </row>
    <row r="1299" spans="1:5" x14ac:dyDescent="0.55000000000000004">
      <c r="A1299" s="1" t="s">
        <v>243</v>
      </c>
      <c r="B1299" s="1" t="s">
        <v>244</v>
      </c>
      <c r="C1299" s="1" t="s">
        <v>245</v>
      </c>
      <c r="D1299" s="1" t="str">
        <f>"0598-34-0054  "</f>
        <v xml:space="preserve">0598-34-0054  </v>
      </c>
      <c r="E1299" s="1" t="s">
        <v>79</v>
      </c>
    </row>
    <row r="1300" spans="1:5" x14ac:dyDescent="0.55000000000000004">
      <c r="A1300" s="1" t="s">
        <v>350</v>
      </c>
      <c r="B1300" s="1" t="s">
        <v>351</v>
      </c>
      <c r="C1300" s="1" t="str">
        <f>"松阪市小黒田町251-2"</f>
        <v>松阪市小黒田町251-2</v>
      </c>
      <c r="D1300" s="1" t="str">
        <f>"0598-21-2806  "</f>
        <v xml:space="preserve">0598-21-2806  </v>
      </c>
      <c r="E1300" s="1" t="s">
        <v>352</v>
      </c>
    </row>
    <row r="1301" spans="1:5" x14ac:dyDescent="0.55000000000000004">
      <c r="A1301" s="1" t="s">
        <v>1165</v>
      </c>
      <c r="B1301" s="1" t="s">
        <v>47</v>
      </c>
      <c r="C1301" s="1" t="s">
        <v>1166</v>
      </c>
      <c r="D1301" s="1" t="str">
        <f>"0598-59-0311  "</f>
        <v xml:space="preserve">0598-59-0311  </v>
      </c>
      <c r="E1301" s="1" t="s">
        <v>468</v>
      </c>
    </row>
    <row r="1302" spans="1:5" x14ac:dyDescent="0.55000000000000004">
      <c r="A1302" s="1" t="s">
        <v>2895</v>
      </c>
      <c r="B1302" s="1" t="s">
        <v>47</v>
      </c>
      <c r="C1302" s="1" t="s">
        <v>1166</v>
      </c>
      <c r="D1302" s="1" t="str">
        <f>"0598-59-0311  "</f>
        <v xml:space="preserve">0598-59-0311  </v>
      </c>
      <c r="E1302" s="1" t="s">
        <v>6</v>
      </c>
    </row>
    <row r="1303" spans="1:5" x14ac:dyDescent="0.55000000000000004">
      <c r="A1303" s="1" t="s">
        <v>221</v>
      </c>
      <c r="B1303" s="1" t="s">
        <v>222</v>
      </c>
      <c r="C1303" s="1" t="s">
        <v>223</v>
      </c>
      <c r="D1303" s="1" t="str">
        <f>"0598-42-2258  "</f>
        <v xml:space="preserve">0598-42-2258  </v>
      </c>
      <c r="E1303" s="1" t="s">
        <v>224</v>
      </c>
    </row>
    <row r="1304" spans="1:5" x14ac:dyDescent="0.55000000000000004">
      <c r="A1304" s="1" t="s">
        <v>1895</v>
      </c>
      <c r="B1304" s="1" t="s">
        <v>70</v>
      </c>
      <c r="C1304" s="1" t="s">
        <v>1896</v>
      </c>
      <c r="D1304" s="1" t="str">
        <f>"0598-23-8800  "</f>
        <v xml:space="preserve">0598-23-8800  </v>
      </c>
      <c r="E1304" s="1" t="s">
        <v>81</v>
      </c>
    </row>
    <row r="1305" spans="1:5" x14ac:dyDescent="0.55000000000000004">
      <c r="A1305" s="1" t="s">
        <v>908</v>
      </c>
      <c r="B1305" s="1" t="s">
        <v>909</v>
      </c>
      <c r="C1305" s="1" t="str">
        <f>"松阪市小黒田町490-3"</f>
        <v>松阪市小黒田町490-3</v>
      </c>
      <c r="D1305" s="1" t="str">
        <f>"0598-23-8008  "</f>
        <v xml:space="preserve">0598-23-8008  </v>
      </c>
      <c r="E1305" s="1" t="s">
        <v>14</v>
      </c>
    </row>
    <row r="1306" spans="1:5" x14ac:dyDescent="0.55000000000000004">
      <c r="A1306" s="1" t="s">
        <v>485</v>
      </c>
      <c r="B1306" s="1" t="s">
        <v>486</v>
      </c>
      <c r="C1306" s="1" t="s">
        <v>487</v>
      </c>
      <c r="D1306" s="1" t="str">
        <f>"0598-22-0007  "</f>
        <v xml:space="preserve">0598-22-0007  </v>
      </c>
      <c r="E1306" s="1" t="s">
        <v>51</v>
      </c>
    </row>
    <row r="1307" spans="1:5" x14ac:dyDescent="0.55000000000000004">
      <c r="A1307" s="1" t="s">
        <v>3053</v>
      </c>
      <c r="B1307" s="1" t="s">
        <v>3054</v>
      </c>
      <c r="C1307" s="1" t="str">
        <f>"松阪市立田町字向田上141-1"</f>
        <v>松阪市立田町字向田上141-1</v>
      </c>
      <c r="D1307" s="1" t="str">
        <f>"0598-61-0600  "</f>
        <v xml:space="preserve">0598-61-0600  </v>
      </c>
      <c r="E1307" s="1" t="s">
        <v>3055</v>
      </c>
    </row>
    <row r="1308" spans="1:5" x14ac:dyDescent="0.55000000000000004">
      <c r="A1308" s="1" t="s">
        <v>93</v>
      </c>
      <c r="B1308" s="1" t="s">
        <v>3058</v>
      </c>
      <c r="C1308" s="1" t="s">
        <v>1683</v>
      </c>
      <c r="D1308" s="1" t="str">
        <f>"0598-51-5311  "</f>
        <v xml:space="preserve">0598-51-5311  </v>
      </c>
      <c r="E1308" s="1" t="s">
        <v>3059</v>
      </c>
    </row>
    <row r="1309" spans="1:5" x14ac:dyDescent="0.55000000000000004">
      <c r="A1309" s="1" t="s">
        <v>1677</v>
      </c>
      <c r="B1309" s="1" t="s">
        <v>1678</v>
      </c>
      <c r="C1309" s="1" t="s">
        <v>1679</v>
      </c>
      <c r="D1309" s="1" t="str">
        <f>"0598-23-4060  "</f>
        <v xml:space="preserve">0598-23-4060  </v>
      </c>
      <c r="E1309" s="1" t="s">
        <v>1680</v>
      </c>
    </row>
    <row r="1310" spans="1:5" x14ac:dyDescent="0.55000000000000004">
      <c r="A1310" s="1" t="s">
        <v>187</v>
      </c>
      <c r="B1310" s="1" t="s">
        <v>188</v>
      </c>
      <c r="C1310" s="1" t="s">
        <v>189</v>
      </c>
      <c r="D1310" s="1" t="str">
        <f>"0598-53-1177  "</f>
        <v xml:space="preserve">0598-53-1177  </v>
      </c>
      <c r="E1310" s="1" t="s">
        <v>190</v>
      </c>
    </row>
    <row r="1311" spans="1:5" x14ac:dyDescent="0.55000000000000004">
      <c r="A1311" s="1" t="s">
        <v>2372</v>
      </c>
      <c r="B1311" s="1" t="s">
        <v>72</v>
      </c>
      <c r="C1311" s="1" t="s">
        <v>73</v>
      </c>
      <c r="D1311" s="1" t="str">
        <f>"0598-26-3846  "</f>
        <v xml:space="preserve">0598-26-3846  </v>
      </c>
      <c r="E1311" s="1" t="s">
        <v>7</v>
      </c>
    </row>
    <row r="1312" spans="1:5" x14ac:dyDescent="0.55000000000000004">
      <c r="A1312" s="1" t="s">
        <v>1716</v>
      </c>
      <c r="B1312" s="1" t="s">
        <v>1717</v>
      </c>
      <c r="C1312" s="1" t="s">
        <v>1718</v>
      </c>
      <c r="D1312" s="1" t="str">
        <f>"0598-21-0009  "</f>
        <v xml:space="preserve">0598-21-0009  </v>
      </c>
      <c r="E1312" s="1" t="s">
        <v>34</v>
      </c>
    </row>
    <row r="1313" spans="1:5" x14ac:dyDescent="0.55000000000000004">
      <c r="A1313" s="1" t="s">
        <v>1799</v>
      </c>
      <c r="B1313" s="1" t="s">
        <v>1800</v>
      </c>
      <c r="C1313" s="1" t="str">
        <f>"松阪市上川町2194-3"</f>
        <v>松阪市上川町2194-3</v>
      </c>
      <c r="D1313" s="1" t="str">
        <f>"0598-28-8828  "</f>
        <v xml:space="preserve">0598-28-8828  </v>
      </c>
      <c r="E1313" s="1" t="s">
        <v>135</v>
      </c>
    </row>
    <row r="1314" spans="1:5" x14ac:dyDescent="0.55000000000000004">
      <c r="A1314" s="1" t="s">
        <v>2875</v>
      </c>
      <c r="B1314" s="1" t="s">
        <v>2876</v>
      </c>
      <c r="C1314" s="1" t="str">
        <f>"松阪市大黒田町821-4"</f>
        <v>松阪市大黒田町821-4</v>
      </c>
      <c r="D1314" s="1" t="str">
        <f>"0598-26-1511  "</f>
        <v xml:space="preserve">0598-26-1511  </v>
      </c>
      <c r="E1314" s="1" t="s">
        <v>2877</v>
      </c>
    </row>
    <row r="1315" spans="1:5" x14ac:dyDescent="0.55000000000000004">
      <c r="A1315" s="1" t="s">
        <v>2082</v>
      </c>
      <c r="B1315" s="1" t="s">
        <v>205</v>
      </c>
      <c r="C1315" s="1" t="str">
        <f>"松阪市市場庄町1105-3"</f>
        <v>松阪市市場庄町1105-3</v>
      </c>
      <c r="D1315" s="1" t="str">
        <f>"0598-56-6001  "</f>
        <v xml:space="preserve">0598-56-6001  </v>
      </c>
      <c r="E1315" s="1" t="s">
        <v>2083</v>
      </c>
    </row>
    <row r="1316" spans="1:5" x14ac:dyDescent="0.55000000000000004">
      <c r="A1316" s="1" t="s">
        <v>204</v>
      </c>
      <c r="B1316" s="1" t="s">
        <v>205</v>
      </c>
      <c r="C1316" s="1" t="str">
        <f>"松阪市市場庄町1105-3"</f>
        <v>松阪市市場庄町1105-3</v>
      </c>
      <c r="D1316" s="1" t="str">
        <f>"0598-56-6001  "</f>
        <v xml:space="preserve">0598-56-6001  </v>
      </c>
      <c r="E1316" s="1" t="s">
        <v>44</v>
      </c>
    </row>
    <row r="1317" spans="1:5" x14ac:dyDescent="0.55000000000000004">
      <c r="A1317" s="1" t="s">
        <v>447</v>
      </c>
      <c r="B1317" s="1" t="s">
        <v>448</v>
      </c>
      <c r="C1317" s="1" t="str">
        <f>"松阪市西之庄町78-2"</f>
        <v>松阪市西之庄町78-2</v>
      </c>
      <c r="D1317" s="1" t="str">
        <f>"0598-22-0011  "</f>
        <v xml:space="preserve">0598-22-0011  </v>
      </c>
      <c r="E1317" s="1" t="s">
        <v>6</v>
      </c>
    </row>
    <row r="1318" spans="1:5" x14ac:dyDescent="0.55000000000000004">
      <c r="A1318" s="1" t="s">
        <v>2368</v>
      </c>
      <c r="B1318" s="1" t="s">
        <v>54</v>
      </c>
      <c r="C1318" s="1" t="str">
        <f>"松阪市山室町707-3"</f>
        <v>松阪市山室町707-3</v>
      </c>
      <c r="D1318" s="1" t="str">
        <f>"0598-29-8700  "</f>
        <v xml:space="preserve">0598-29-8700  </v>
      </c>
      <c r="E1318" s="1" t="s">
        <v>277</v>
      </c>
    </row>
    <row r="1319" spans="1:5" x14ac:dyDescent="0.55000000000000004">
      <c r="A1319" s="1" t="s">
        <v>2401</v>
      </c>
      <c r="B1319" s="1" t="s">
        <v>54</v>
      </c>
      <c r="C1319" s="1" t="s">
        <v>2617</v>
      </c>
      <c r="D1319" s="1" t="str">
        <f>"0598-29-8700  "</f>
        <v xml:space="preserve">0598-29-8700  </v>
      </c>
      <c r="E1319" s="1" t="s">
        <v>111</v>
      </c>
    </row>
    <row r="1320" spans="1:5" x14ac:dyDescent="0.55000000000000004">
      <c r="A1320" s="1" t="s">
        <v>2616</v>
      </c>
      <c r="B1320" s="1" t="s">
        <v>54</v>
      </c>
      <c r="C1320" s="1" t="s">
        <v>2617</v>
      </c>
      <c r="D1320" s="1" t="str">
        <f>"0598-29-8700  "</f>
        <v xml:space="preserve">0598-29-8700  </v>
      </c>
      <c r="E1320" s="1" t="s">
        <v>6</v>
      </c>
    </row>
    <row r="1321" spans="1:5" x14ac:dyDescent="0.55000000000000004">
      <c r="A1321" s="1" t="s">
        <v>2307</v>
      </c>
      <c r="B1321" s="1" t="s">
        <v>2308</v>
      </c>
      <c r="C1321" s="1" t="s">
        <v>2309</v>
      </c>
      <c r="D1321" s="1" t="str">
        <f>"0598-46-0003  "</f>
        <v xml:space="preserve">0598-46-0003  </v>
      </c>
      <c r="E1321" s="1" t="s">
        <v>28</v>
      </c>
    </row>
    <row r="1322" spans="1:5" x14ac:dyDescent="0.55000000000000004">
      <c r="A1322" s="1" t="s">
        <v>1425</v>
      </c>
      <c r="B1322" s="1" t="s">
        <v>1426</v>
      </c>
      <c r="C1322" s="1" t="s">
        <v>1427</v>
      </c>
      <c r="D1322" s="1" t="str">
        <f>"0598-21-1022  "</f>
        <v xml:space="preserve">0598-21-1022  </v>
      </c>
      <c r="E1322" s="1" t="s">
        <v>216</v>
      </c>
    </row>
    <row r="1323" spans="1:5" x14ac:dyDescent="0.55000000000000004">
      <c r="A1323" s="1" t="s">
        <v>1924</v>
      </c>
      <c r="B1323" s="1" t="s">
        <v>1925</v>
      </c>
      <c r="C1323" s="1" t="str">
        <f>"松阪市五反田町3丁目1371-7"</f>
        <v>松阪市五反田町3丁目1371-7</v>
      </c>
      <c r="D1323" s="1" t="str">
        <f>"0598-25-5151  "</f>
        <v xml:space="preserve">0598-25-5151  </v>
      </c>
      <c r="E1323" s="1" t="s">
        <v>22</v>
      </c>
    </row>
    <row r="1324" spans="1:5" x14ac:dyDescent="0.55000000000000004">
      <c r="A1324" s="1" t="s">
        <v>1926</v>
      </c>
      <c r="B1324" s="1" t="s">
        <v>1925</v>
      </c>
      <c r="C1324" s="1" t="str">
        <f>"松阪市五反田町3丁目1371-7"</f>
        <v>松阪市五反田町3丁目1371-7</v>
      </c>
      <c r="D1324" s="1" t="str">
        <f>"0598-25-5151  "</f>
        <v xml:space="preserve">0598-25-5151  </v>
      </c>
      <c r="E1324" s="1" t="s">
        <v>22</v>
      </c>
    </row>
    <row r="1325" spans="1:5" x14ac:dyDescent="0.55000000000000004">
      <c r="A1325" s="1" t="s">
        <v>2549</v>
      </c>
      <c r="B1325" s="1" t="s">
        <v>248</v>
      </c>
      <c r="C1325" s="1" t="str">
        <f>"松阪市大口町279-5"</f>
        <v>松阪市大口町279-5</v>
      </c>
      <c r="D1325" s="1" t="str">
        <f>"0598-52-1000  "</f>
        <v xml:space="preserve">0598-52-1000  </v>
      </c>
      <c r="E1325" s="1" t="s">
        <v>14</v>
      </c>
    </row>
    <row r="1326" spans="1:5" x14ac:dyDescent="0.55000000000000004">
      <c r="A1326" s="1" t="s">
        <v>247</v>
      </c>
      <c r="B1326" s="1" t="s">
        <v>248</v>
      </c>
      <c r="C1326" s="1" t="str">
        <f>"松阪市大口町279-5"</f>
        <v>松阪市大口町279-5</v>
      </c>
      <c r="D1326" s="1" t="str">
        <f>"0598-52-1000  "</f>
        <v xml:space="preserve">0598-52-1000  </v>
      </c>
      <c r="E1326" s="1" t="s">
        <v>34</v>
      </c>
    </row>
    <row r="1327" spans="1:5" x14ac:dyDescent="0.55000000000000004">
      <c r="A1327" s="1" t="s">
        <v>2279</v>
      </c>
      <c r="B1327" s="1" t="s">
        <v>124</v>
      </c>
      <c r="C1327" s="1" t="s">
        <v>1097</v>
      </c>
      <c r="D1327" s="1" t="str">
        <f t="shared" ref="D1327:D1358" si="49">"0598-21-5252  "</f>
        <v xml:space="preserve">0598-21-5252  </v>
      </c>
      <c r="E1327" s="1" t="s">
        <v>111</v>
      </c>
    </row>
    <row r="1328" spans="1:5" x14ac:dyDescent="0.55000000000000004">
      <c r="A1328" s="1" t="s">
        <v>2288</v>
      </c>
      <c r="B1328" s="1" t="s">
        <v>124</v>
      </c>
      <c r="C1328" s="1" t="s">
        <v>1097</v>
      </c>
      <c r="D1328" s="1" t="str">
        <f t="shared" si="49"/>
        <v xml:space="preserve">0598-21-5252  </v>
      </c>
      <c r="E1328" s="1" t="s">
        <v>981</v>
      </c>
    </row>
    <row r="1329" spans="1:5" x14ac:dyDescent="0.55000000000000004">
      <c r="A1329" s="1" t="s">
        <v>1323</v>
      </c>
      <c r="B1329" s="1" t="s">
        <v>124</v>
      </c>
      <c r="C1329" s="1" t="s">
        <v>1097</v>
      </c>
      <c r="D1329" s="1" t="str">
        <f t="shared" si="49"/>
        <v xml:space="preserve">0598-21-5252  </v>
      </c>
      <c r="E1329" s="1" t="s">
        <v>106</v>
      </c>
    </row>
    <row r="1330" spans="1:5" x14ac:dyDescent="0.55000000000000004">
      <c r="A1330" s="1" t="s">
        <v>2365</v>
      </c>
      <c r="B1330" s="1" t="s">
        <v>124</v>
      </c>
      <c r="C1330" s="1" t="s">
        <v>1097</v>
      </c>
      <c r="D1330" s="1" t="str">
        <f t="shared" si="49"/>
        <v xml:space="preserve">0598-21-5252  </v>
      </c>
      <c r="E1330" s="1" t="s">
        <v>1402</v>
      </c>
    </row>
    <row r="1331" spans="1:5" x14ac:dyDescent="0.55000000000000004">
      <c r="A1331" s="1" t="s">
        <v>2380</v>
      </c>
      <c r="B1331" s="1" t="s">
        <v>124</v>
      </c>
      <c r="C1331" s="1" t="s">
        <v>1097</v>
      </c>
      <c r="D1331" s="1" t="str">
        <f t="shared" si="49"/>
        <v xml:space="preserve">0598-21-5252  </v>
      </c>
      <c r="E1331" s="1" t="s">
        <v>126</v>
      </c>
    </row>
    <row r="1332" spans="1:5" x14ac:dyDescent="0.55000000000000004">
      <c r="A1332" s="1" t="s">
        <v>2051</v>
      </c>
      <c r="B1332" s="1" t="s">
        <v>124</v>
      </c>
      <c r="C1332" s="1" t="s">
        <v>1097</v>
      </c>
      <c r="D1332" s="1" t="str">
        <f t="shared" si="49"/>
        <v xml:space="preserve">0598-21-5252  </v>
      </c>
      <c r="E1332" s="1" t="s">
        <v>216</v>
      </c>
    </row>
    <row r="1333" spans="1:5" x14ac:dyDescent="0.55000000000000004">
      <c r="A1333" s="1" t="s">
        <v>2052</v>
      </c>
      <c r="B1333" s="1" t="s">
        <v>124</v>
      </c>
      <c r="C1333" s="1" t="s">
        <v>1097</v>
      </c>
      <c r="D1333" s="1" t="str">
        <f t="shared" si="49"/>
        <v xml:space="preserve">0598-21-5252  </v>
      </c>
      <c r="E1333" s="1" t="s">
        <v>135</v>
      </c>
    </row>
    <row r="1334" spans="1:5" x14ac:dyDescent="0.55000000000000004">
      <c r="A1334" s="1" t="s">
        <v>2382</v>
      </c>
      <c r="B1334" s="1" t="s">
        <v>124</v>
      </c>
      <c r="C1334" s="1" t="s">
        <v>1097</v>
      </c>
      <c r="D1334" s="1" t="str">
        <f t="shared" si="49"/>
        <v xml:space="preserve">0598-21-5252  </v>
      </c>
      <c r="E1334" s="1" t="s">
        <v>111</v>
      </c>
    </row>
    <row r="1335" spans="1:5" x14ac:dyDescent="0.55000000000000004">
      <c r="A1335" s="1" t="s">
        <v>2060</v>
      </c>
      <c r="B1335" s="1" t="s">
        <v>124</v>
      </c>
      <c r="C1335" s="1" t="s">
        <v>1097</v>
      </c>
      <c r="D1335" s="1" t="str">
        <f t="shared" si="49"/>
        <v xml:space="preserve">0598-21-5252  </v>
      </c>
      <c r="E1335" s="1" t="s">
        <v>2061</v>
      </c>
    </row>
    <row r="1336" spans="1:5" x14ac:dyDescent="0.55000000000000004">
      <c r="A1336" s="1" t="s">
        <v>2066</v>
      </c>
      <c r="B1336" s="1" t="s">
        <v>124</v>
      </c>
      <c r="C1336" s="1" t="s">
        <v>1097</v>
      </c>
      <c r="D1336" s="1" t="str">
        <f t="shared" si="49"/>
        <v xml:space="preserve">0598-21-5252  </v>
      </c>
      <c r="E1336" s="1" t="s">
        <v>14</v>
      </c>
    </row>
    <row r="1337" spans="1:5" x14ac:dyDescent="0.55000000000000004">
      <c r="A1337" s="1" t="s">
        <v>2439</v>
      </c>
      <c r="B1337" s="1" t="s">
        <v>124</v>
      </c>
      <c r="C1337" s="1" t="s">
        <v>1097</v>
      </c>
      <c r="D1337" s="1" t="str">
        <f t="shared" si="49"/>
        <v xml:space="preserve">0598-21-5252  </v>
      </c>
      <c r="E1337" s="1" t="s">
        <v>106</v>
      </c>
    </row>
    <row r="1338" spans="1:5" x14ac:dyDescent="0.55000000000000004">
      <c r="A1338" s="1" t="s">
        <v>2097</v>
      </c>
      <c r="B1338" s="1" t="s">
        <v>124</v>
      </c>
      <c r="C1338" s="1" t="s">
        <v>1097</v>
      </c>
      <c r="D1338" s="1" t="str">
        <f t="shared" si="49"/>
        <v xml:space="preserve">0598-21-5252  </v>
      </c>
      <c r="E1338" s="1" t="s">
        <v>865</v>
      </c>
    </row>
    <row r="1339" spans="1:5" x14ac:dyDescent="0.55000000000000004">
      <c r="A1339" s="1" t="s">
        <v>2104</v>
      </c>
      <c r="B1339" s="1" t="s">
        <v>124</v>
      </c>
      <c r="C1339" s="1" t="s">
        <v>1097</v>
      </c>
      <c r="D1339" s="1" t="str">
        <f t="shared" si="49"/>
        <v xml:space="preserve">0598-21-5252  </v>
      </c>
      <c r="E1339" s="1" t="s">
        <v>131</v>
      </c>
    </row>
    <row r="1340" spans="1:5" x14ac:dyDescent="0.55000000000000004">
      <c r="A1340" s="1" t="s">
        <v>2552</v>
      </c>
      <c r="B1340" s="1" t="s">
        <v>124</v>
      </c>
      <c r="C1340" s="1" t="s">
        <v>1097</v>
      </c>
      <c r="D1340" s="1" t="str">
        <f t="shared" si="49"/>
        <v xml:space="preserve">0598-21-5252  </v>
      </c>
      <c r="E1340" s="1" t="s">
        <v>117</v>
      </c>
    </row>
    <row r="1341" spans="1:5" x14ac:dyDescent="0.55000000000000004">
      <c r="A1341" s="1" t="s">
        <v>2553</v>
      </c>
      <c r="B1341" s="1" t="s">
        <v>124</v>
      </c>
      <c r="C1341" s="1" t="s">
        <v>1097</v>
      </c>
      <c r="D1341" s="1" t="str">
        <f t="shared" si="49"/>
        <v xml:space="preserve">0598-21-5252  </v>
      </c>
      <c r="E1341" s="1" t="s">
        <v>23</v>
      </c>
    </row>
    <row r="1342" spans="1:5" x14ac:dyDescent="0.55000000000000004">
      <c r="A1342" s="1" t="s">
        <v>2554</v>
      </c>
      <c r="B1342" s="1" t="s">
        <v>124</v>
      </c>
      <c r="C1342" s="1" t="s">
        <v>1097</v>
      </c>
      <c r="D1342" s="1" t="str">
        <f t="shared" si="49"/>
        <v xml:space="preserve">0598-21-5252  </v>
      </c>
      <c r="E1342" s="1" t="s">
        <v>2061</v>
      </c>
    </row>
    <row r="1343" spans="1:5" x14ac:dyDescent="0.55000000000000004">
      <c r="A1343" s="1" t="s">
        <v>1096</v>
      </c>
      <c r="B1343" s="1" t="s">
        <v>124</v>
      </c>
      <c r="C1343" s="1" t="s">
        <v>1097</v>
      </c>
      <c r="D1343" s="1" t="str">
        <f t="shared" si="49"/>
        <v xml:space="preserve">0598-21-5252  </v>
      </c>
      <c r="E1343" s="1" t="s">
        <v>23</v>
      </c>
    </row>
    <row r="1344" spans="1:5" x14ac:dyDescent="0.55000000000000004">
      <c r="A1344" s="1" t="s">
        <v>1104</v>
      </c>
      <c r="B1344" s="1" t="s">
        <v>124</v>
      </c>
      <c r="C1344" s="1" t="s">
        <v>1097</v>
      </c>
      <c r="D1344" s="1" t="str">
        <f t="shared" si="49"/>
        <v xml:space="preserve">0598-21-5252  </v>
      </c>
      <c r="E1344" s="1" t="s">
        <v>23</v>
      </c>
    </row>
    <row r="1345" spans="1:5" x14ac:dyDescent="0.55000000000000004">
      <c r="A1345" s="1" t="s">
        <v>1105</v>
      </c>
      <c r="B1345" s="1" t="s">
        <v>124</v>
      </c>
      <c r="C1345" s="1" t="s">
        <v>1097</v>
      </c>
      <c r="D1345" s="1" t="str">
        <f t="shared" si="49"/>
        <v xml:space="preserve">0598-21-5252  </v>
      </c>
      <c r="E1345" s="1" t="s">
        <v>23</v>
      </c>
    </row>
    <row r="1346" spans="1:5" x14ac:dyDescent="0.55000000000000004">
      <c r="A1346" s="1" t="s">
        <v>1200</v>
      </c>
      <c r="B1346" s="1" t="s">
        <v>124</v>
      </c>
      <c r="C1346" s="1" t="s">
        <v>1097</v>
      </c>
      <c r="D1346" s="1" t="str">
        <f t="shared" si="49"/>
        <v xml:space="preserve">0598-21-5252  </v>
      </c>
      <c r="E1346" s="1" t="s">
        <v>23</v>
      </c>
    </row>
    <row r="1347" spans="1:5" x14ac:dyDescent="0.55000000000000004">
      <c r="A1347" s="1" t="s">
        <v>1202</v>
      </c>
      <c r="B1347" s="1" t="s">
        <v>124</v>
      </c>
      <c r="C1347" s="1" t="s">
        <v>1097</v>
      </c>
      <c r="D1347" s="1" t="str">
        <f t="shared" si="49"/>
        <v xml:space="preserve">0598-21-5252  </v>
      </c>
      <c r="E1347" s="1" t="s">
        <v>111</v>
      </c>
    </row>
    <row r="1348" spans="1:5" x14ac:dyDescent="0.55000000000000004">
      <c r="A1348" s="1" t="s">
        <v>1211</v>
      </c>
      <c r="B1348" s="1" t="s">
        <v>124</v>
      </c>
      <c r="C1348" s="1" t="s">
        <v>1097</v>
      </c>
      <c r="D1348" s="1" t="str">
        <f t="shared" si="49"/>
        <v xml:space="preserve">0598-21-5252  </v>
      </c>
      <c r="E1348" s="1" t="s">
        <v>1212</v>
      </c>
    </row>
    <row r="1349" spans="1:5" x14ac:dyDescent="0.55000000000000004">
      <c r="A1349" s="1" t="s">
        <v>1213</v>
      </c>
      <c r="B1349" s="1" t="s">
        <v>124</v>
      </c>
      <c r="C1349" s="1" t="s">
        <v>1097</v>
      </c>
      <c r="D1349" s="1" t="str">
        <f t="shared" si="49"/>
        <v xml:space="preserve">0598-21-5252  </v>
      </c>
      <c r="E1349" s="1" t="s">
        <v>117</v>
      </c>
    </row>
    <row r="1350" spans="1:5" x14ac:dyDescent="0.55000000000000004">
      <c r="A1350" s="1" t="s">
        <v>1214</v>
      </c>
      <c r="B1350" s="1" t="s">
        <v>124</v>
      </c>
      <c r="C1350" s="1" t="s">
        <v>1097</v>
      </c>
      <c r="D1350" s="1" t="str">
        <f t="shared" si="49"/>
        <v xml:space="preserve">0598-21-5252  </v>
      </c>
      <c r="E1350" s="1" t="s">
        <v>117</v>
      </c>
    </row>
    <row r="1351" spans="1:5" x14ac:dyDescent="0.55000000000000004">
      <c r="A1351" s="1" t="s">
        <v>1218</v>
      </c>
      <c r="B1351" s="1" t="s">
        <v>124</v>
      </c>
      <c r="C1351" s="1" t="s">
        <v>1097</v>
      </c>
      <c r="D1351" s="1" t="str">
        <f t="shared" si="49"/>
        <v xml:space="preserve">0598-21-5252  </v>
      </c>
      <c r="E1351" s="1" t="s">
        <v>106</v>
      </c>
    </row>
    <row r="1352" spans="1:5" x14ac:dyDescent="0.55000000000000004">
      <c r="A1352" s="1" t="s">
        <v>1219</v>
      </c>
      <c r="B1352" s="1" t="s">
        <v>124</v>
      </c>
      <c r="C1352" s="1" t="s">
        <v>1097</v>
      </c>
      <c r="D1352" s="1" t="str">
        <f t="shared" si="49"/>
        <v xml:space="preserve">0598-21-5252  </v>
      </c>
      <c r="E1352" s="1" t="s">
        <v>14</v>
      </c>
    </row>
    <row r="1353" spans="1:5" x14ac:dyDescent="0.55000000000000004">
      <c r="A1353" s="1" t="s">
        <v>1220</v>
      </c>
      <c r="B1353" s="1" t="s">
        <v>124</v>
      </c>
      <c r="C1353" s="1" t="s">
        <v>1097</v>
      </c>
      <c r="D1353" s="1" t="str">
        <f t="shared" si="49"/>
        <v xml:space="preserve">0598-21-5252  </v>
      </c>
      <c r="E1353" s="1" t="s">
        <v>14</v>
      </c>
    </row>
    <row r="1354" spans="1:5" x14ac:dyDescent="0.55000000000000004">
      <c r="A1354" s="1" t="s">
        <v>1221</v>
      </c>
      <c r="B1354" s="1" t="s">
        <v>124</v>
      </c>
      <c r="C1354" s="1" t="s">
        <v>1097</v>
      </c>
      <c r="D1354" s="1" t="str">
        <f t="shared" si="49"/>
        <v xml:space="preserve">0598-21-5252  </v>
      </c>
      <c r="E1354" s="1" t="s">
        <v>14</v>
      </c>
    </row>
    <row r="1355" spans="1:5" x14ac:dyDescent="0.55000000000000004">
      <c r="A1355" s="1" t="s">
        <v>1223</v>
      </c>
      <c r="B1355" s="1" t="s">
        <v>124</v>
      </c>
      <c r="C1355" s="1" t="s">
        <v>1097</v>
      </c>
      <c r="D1355" s="1" t="str">
        <f t="shared" si="49"/>
        <v xml:space="preserve">0598-21-5252  </v>
      </c>
      <c r="E1355" s="1" t="s">
        <v>131</v>
      </c>
    </row>
    <row r="1356" spans="1:5" x14ac:dyDescent="0.55000000000000004">
      <c r="A1356" s="1" t="s">
        <v>1224</v>
      </c>
      <c r="B1356" s="1" t="s">
        <v>124</v>
      </c>
      <c r="C1356" s="1" t="s">
        <v>1097</v>
      </c>
      <c r="D1356" s="1" t="str">
        <f t="shared" si="49"/>
        <v xml:space="preserve">0598-21-5252  </v>
      </c>
      <c r="E1356" s="1" t="s">
        <v>106</v>
      </c>
    </row>
    <row r="1357" spans="1:5" x14ac:dyDescent="0.55000000000000004">
      <c r="A1357" s="1" t="s">
        <v>1326</v>
      </c>
      <c r="B1357" s="1" t="s">
        <v>124</v>
      </c>
      <c r="C1357" s="1" t="s">
        <v>1097</v>
      </c>
      <c r="D1357" s="1" t="str">
        <f t="shared" si="49"/>
        <v xml:space="preserve">0598-21-5252  </v>
      </c>
      <c r="E1357" s="1" t="s">
        <v>117</v>
      </c>
    </row>
    <row r="1358" spans="1:5" x14ac:dyDescent="0.55000000000000004">
      <c r="A1358" s="1" t="s">
        <v>1331</v>
      </c>
      <c r="B1358" s="1" t="s">
        <v>124</v>
      </c>
      <c r="C1358" s="1" t="s">
        <v>1097</v>
      </c>
      <c r="D1358" s="1" t="str">
        <f t="shared" si="49"/>
        <v xml:space="preserve">0598-21-5252  </v>
      </c>
      <c r="E1358" s="1" t="s">
        <v>117</v>
      </c>
    </row>
    <row r="1359" spans="1:5" x14ac:dyDescent="0.55000000000000004">
      <c r="A1359" s="1" t="s">
        <v>1396</v>
      </c>
      <c r="B1359" s="1" t="s">
        <v>124</v>
      </c>
      <c r="C1359" s="1" t="s">
        <v>1097</v>
      </c>
      <c r="D1359" s="1" t="str">
        <f t="shared" ref="D1359:D1378" si="50">"0598-21-5252  "</f>
        <v xml:space="preserve">0598-21-5252  </v>
      </c>
      <c r="E1359" s="1" t="s">
        <v>107</v>
      </c>
    </row>
    <row r="1360" spans="1:5" x14ac:dyDescent="0.55000000000000004">
      <c r="A1360" s="1" t="s">
        <v>1400</v>
      </c>
      <c r="B1360" s="1" t="s">
        <v>124</v>
      </c>
      <c r="C1360" s="1" t="s">
        <v>1097</v>
      </c>
      <c r="D1360" s="1" t="str">
        <f t="shared" si="50"/>
        <v xml:space="preserve">0598-21-5252  </v>
      </c>
      <c r="E1360" s="1" t="s">
        <v>111</v>
      </c>
    </row>
    <row r="1361" spans="1:5" x14ac:dyDescent="0.55000000000000004">
      <c r="A1361" s="1" t="s">
        <v>1401</v>
      </c>
      <c r="B1361" s="1" t="s">
        <v>124</v>
      </c>
      <c r="C1361" s="1" t="s">
        <v>1097</v>
      </c>
      <c r="D1361" s="1" t="str">
        <f t="shared" si="50"/>
        <v xml:space="preserve">0598-21-5252  </v>
      </c>
      <c r="E1361" s="1" t="s">
        <v>1402</v>
      </c>
    </row>
    <row r="1362" spans="1:5" x14ac:dyDescent="0.55000000000000004">
      <c r="A1362" s="1" t="s">
        <v>1403</v>
      </c>
      <c r="B1362" s="1" t="s">
        <v>124</v>
      </c>
      <c r="C1362" s="1" t="s">
        <v>1097</v>
      </c>
      <c r="D1362" s="1" t="str">
        <f t="shared" si="50"/>
        <v xml:space="preserve">0598-21-5252  </v>
      </c>
      <c r="E1362" s="1" t="s">
        <v>34</v>
      </c>
    </row>
    <row r="1363" spans="1:5" x14ac:dyDescent="0.55000000000000004">
      <c r="A1363" s="1" t="s">
        <v>1424</v>
      </c>
      <c r="B1363" s="1" t="s">
        <v>124</v>
      </c>
      <c r="C1363" s="1" t="s">
        <v>1097</v>
      </c>
      <c r="D1363" s="1" t="str">
        <f t="shared" si="50"/>
        <v xml:space="preserve">0598-21-5252  </v>
      </c>
      <c r="E1363" s="1" t="s">
        <v>216</v>
      </c>
    </row>
    <row r="1364" spans="1:5" x14ac:dyDescent="0.55000000000000004">
      <c r="A1364" s="1" t="s">
        <v>1606</v>
      </c>
      <c r="B1364" s="1" t="s">
        <v>124</v>
      </c>
      <c r="C1364" s="1" t="s">
        <v>1097</v>
      </c>
      <c r="D1364" s="1" t="str">
        <f t="shared" si="50"/>
        <v xml:space="preserve">0598-21-5252  </v>
      </c>
      <c r="E1364" s="1" t="s">
        <v>23</v>
      </c>
    </row>
    <row r="1365" spans="1:5" x14ac:dyDescent="0.55000000000000004">
      <c r="A1365" s="1" t="s">
        <v>1612</v>
      </c>
      <c r="B1365" s="1" t="s">
        <v>124</v>
      </c>
      <c r="C1365" s="1" t="s">
        <v>1097</v>
      </c>
      <c r="D1365" s="1" t="str">
        <f t="shared" si="50"/>
        <v xml:space="preserve">0598-21-5252  </v>
      </c>
      <c r="E1365" s="1" t="s">
        <v>14</v>
      </c>
    </row>
    <row r="1366" spans="1:5" x14ac:dyDescent="0.55000000000000004">
      <c r="A1366" s="1" t="s">
        <v>1635</v>
      </c>
      <c r="B1366" s="1" t="s">
        <v>124</v>
      </c>
      <c r="C1366" s="1" t="s">
        <v>1097</v>
      </c>
      <c r="D1366" s="1" t="str">
        <f t="shared" si="50"/>
        <v xml:space="preserve">0598-21-5252  </v>
      </c>
      <c r="E1366" s="1" t="s">
        <v>216</v>
      </c>
    </row>
    <row r="1367" spans="1:5" x14ac:dyDescent="0.55000000000000004">
      <c r="A1367" s="1" t="s">
        <v>1708</v>
      </c>
      <c r="B1367" s="1" t="s">
        <v>124</v>
      </c>
      <c r="C1367" s="1" t="s">
        <v>1097</v>
      </c>
      <c r="D1367" s="1" t="str">
        <f t="shared" si="50"/>
        <v xml:space="preserve">0598-21-5252  </v>
      </c>
      <c r="E1367" s="1" t="s">
        <v>111</v>
      </c>
    </row>
    <row r="1368" spans="1:5" x14ac:dyDescent="0.55000000000000004">
      <c r="A1368" s="1" t="s">
        <v>1215</v>
      </c>
      <c r="B1368" s="1" t="s">
        <v>124</v>
      </c>
      <c r="C1368" s="1" t="s">
        <v>1097</v>
      </c>
      <c r="D1368" s="1" t="str">
        <f t="shared" si="50"/>
        <v xml:space="preserve">0598-21-5252  </v>
      </c>
      <c r="E1368" s="1" t="s">
        <v>1402</v>
      </c>
    </row>
    <row r="1369" spans="1:5" x14ac:dyDescent="0.55000000000000004">
      <c r="A1369" s="1" t="s">
        <v>2594</v>
      </c>
      <c r="B1369" s="1" t="s">
        <v>124</v>
      </c>
      <c r="C1369" s="1" t="s">
        <v>1097</v>
      </c>
      <c r="D1369" s="1" t="str">
        <f t="shared" si="50"/>
        <v xml:space="preserve">0598-21-5252  </v>
      </c>
      <c r="E1369" s="1" t="s">
        <v>1212</v>
      </c>
    </row>
    <row r="1370" spans="1:5" x14ac:dyDescent="0.55000000000000004">
      <c r="A1370" s="1" t="s">
        <v>1769</v>
      </c>
      <c r="B1370" s="1" t="s">
        <v>124</v>
      </c>
      <c r="C1370" s="1" t="s">
        <v>1097</v>
      </c>
      <c r="D1370" s="1" t="str">
        <f t="shared" si="50"/>
        <v xml:space="preserve">0598-21-5252  </v>
      </c>
      <c r="E1370" s="1" t="s">
        <v>106</v>
      </c>
    </row>
    <row r="1371" spans="1:5" x14ac:dyDescent="0.55000000000000004">
      <c r="A1371" s="1" t="s">
        <v>961</v>
      </c>
      <c r="B1371" s="1" t="s">
        <v>124</v>
      </c>
      <c r="C1371" s="1" t="s">
        <v>1097</v>
      </c>
      <c r="D1371" s="1" t="str">
        <f t="shared" si="50"/>
        <v xml:space="preserve">0598-21-5252  </v>
      </c>
      <c r="E1371" s="1" t="s">
        <v>14</v>
      </c>
    </row>
    <row r="1372" spans="1:5" x14ac:dyDescent="0.55000000000000004">
      <c r="A1372" s="1" t="s">
        <v>1815</v>
      </c>
      <c r="B1372" s="1" t="s">
        <v>124</v>
      </c>
      <c r="C1372" s="1" t="s">
        <v>1097</v>
      </c>
      <c r="D1372" s="1" t="str">
        <f t="shared" si="50"/>
        <v xml:space="preserve">0598-21-5252  </v>
      </c>
      <c r="E1372" s="1" t="s">
        <v>22</v>
      </c>
    </row>
    <row r="1373" spans="1:5" x14ac:dyDescent="0.55000000000000004">
      <c r="A1373" s="1" t="s">
        <v>1844</v>
      </c>
      <c r="B1373" s="1" t="s">
        <v>124</v>
      </c>
      <c r="C1373" s="1" t="s">
        <v>1097</v>
      </c>
      <c r="D1373" s="1" t="str">
        <f t="shared" si="50"/>
        <v xml:space="preserve">0598-21-5252  </v>
      </c>
      <c r="E1373" s="1" t="s">
        <v>135</v>
      </c>
    </row>
    <row r="1374" spans="1:5" x14ac:dyDescent="0.55000000000000004">
      <c r="A1374" s="1" t="s">
        <v>1845</v>
      </c>
      <c r="B1374" s="1" t="s">
        <v>124</v>
      </c>
      <c r="C1374" s="1" t="s">
        <v>1097</v>
      </c>
      <c r="D1374" s="1" t="str">
        <f t="shared" si="50"/>
        <v xml:space="preserve">0598-21-5252  </v>
      </c>
      <c r="E1374" s="1" t="s">
        <v>135</v>
      </c>
    </row>
    <row r="1375" spans="1:5" x14ac:dyDescent="0.55000000000000004">
      <c r="A1375" s="1" t="s">
        <v>2673</v>
      </c>
      <c r="B1375" s="1" t="s">
        <v>124</v>
      </c>
      <c r="C1375" s="1" t="s">
        <v>1097</v>
      </c>
      <c r="D1375" s="1" t="str">
        <f t="shared" si="50"/>
        <v xml:space="preserve">0598-21-5252  </v>
      </c>
      <c r="E1375" s="1" t="s">
        <v>106</v>
      </c>
    </row>
    <row r="1376" spans="1:5" x14ac:dyDescent="0.55000000000000004">
      <c r="A1376" s="1" t="s">
        <v>2683</v>
      </c>
      <c r="B1376" s="1" t="s">
        <v>124</v>
      </c>
      <c r="C1376" s="1" t="s">
        <v>1097</v>
      </c>
      <c r="D1376" s="1" t="str">
        <f t="shared" si="50"/>
        <v xml:space="preserve">0598-21-5252  </v>
      </c>
      <c r="E1376" s="1" t="s">
        <v>117</v>
      </c>
    </row>
    <row r="1377" spans="1:5" x14ac:dyDescent="0.55000000000000004">
      <c r="A1377" s="1" t="s">
        <v>2250</v>
      </c>
      <c r="B1377" s="1" t="s">
        <v>124</v>
      </c>
      <c r="C1377" s="1" t="s">
        <v>1097</v>
      </c>
      <c r="D1377" s="1" t="str">
        <f t="shared" si="50"/>
        <v xml:space="preserve">0598-21-5252  </v>
      </c>
      <c r="E1377" s="1" t="s">
        <v>22</v>
      </c>
    </row>
    <row r="1378" spans="1:5" x14ac:dyDescent="0.55000000000000004">
      <c r="A1378" s="1" t="s">
        <v>1959</v>
      </c>
      <c r="B1378" s="1" t="s">
        <v>1960</v>
      </c>
      <c r="C1378" s="1" t="s">
        <v>1097</v>
      </c>
      <c r="D1378" s="1" t="str">
        <f t="shared" si="50"/>
        <v xml:space="preserve">0598-21-5252  </v>
      </c>
      <c r="E1378" s="1" t="s">
        <v>23</v>
      </c>
    </row>
    <row r="1379" spans="1:5" x14ac:dyDescent="0.55000000000000004">
      <c r="A1379" s="1" t="s">
        <v>1428</v>
      </c>
      <c r="B1379" s="1" t="s">
        <v>1429</v>
      </c>
      <c r="C1379" s="1" t="str">
        <f>"松阪市田村町446-2"</f>
        <v>松阪市田村町446-2</v>
      </c>
      <c r="D1379" s="1" t="str">
        <f>"0598-30-6101  "</f>
        <v xml:space="preserve">0598-30-6101  </v>
      </c>
      <c r="E1379" s="1" t="s">
        <v>7</v>
      </c>
    </row>
    <row r="1380" spans="1:5" x14ac:dyDescent="0.55000000000000004">
      <c r="A1380" s="1" t="s">
        <v>2262</v>
      </c>
      <c r="B1380" s="1" t="s">
        <v>1114</v>
      </c>
      <c r="C1380" s="1" t="s">
        <v>1115</v>
      </c>
      <c r="D1380" s="1" t="str">
        <f t="shared" ref="D1380:D1420" si="51">"0598-51-2626  "</f>
        <v xml:space="preserve">0598-51-2626  </v>
      </c>
      <c r="E1380" s="1" t="s">
        <v>111</v>
      </c>
    </row>
    <row r="1381" spans="1:5" x14ac:dyDescent="0.55000000000000004">
      <c r="A1381" s="1" t="s">
        <v>1954</v>
      </c>
      <c r="B1381" s="1" t="s">
        <v>1114</v>
      </c>
      <c r="C1381" s="1" t="s">
        <v>1115</v>
      </c>
      <c r="D1381" s="1" t="str">
        <f t="shared" si="51"/>
        <v xml:space="preserve">0598-51-2626  </v>
      </c>
      <c r="E1381" s="1" t="s">
        <v>111</v>
      </c>
    </row>
    <row r="1382" spans="1:5" x14ac:dyDescent="0.55000000000000004">
      <c r="A1382" s="1" t="s">
        <v>2294</v>
      </c>
      <c r="B1382" s="1" t="s">
        <v>1114</v>
      </c>
      <c r="C1382" s="1" t="s">
        <v>1115</v>
      </c>
      <c r="D1382" s="1" t="str">
        <f t="shared" si="51"/>
        <v xml:space="preserve">0598-51-2626  </v>
      </c>
      <c r="E1382" s="1" t="s">
        <v>6</v>
      </c>
    </row>
    <row r="1383" spans="1:5" x14ac:dyDescent="0.55000000000000004">
      <c r="A1383" s="1" t="s">
        <v>2297</v>
      </c>
      <c r="B1383" s="1" t="s">
        <v>1114</v>
      </c>
      <c r="C1383" s="1" t="s">
        <v>1115</v>
      </c>
      <c r="D1383" s="1" t="str">
        <f t="shared" si="51"/>
        <v xml:space="preserve">0598-51-2626  </v>
      </c>
      <c r="E1383" s="1" t="s">
        <v>6</v>
      </c>
    </row>
    <row r="1384" spans="1:5" x14ac:dyDescent="0.55000000000000004">
      <c r="A1384" s="1" t="s">
        <v>2470</v>
      </c>
      <c r="B1384" s="1" t="s">
        <v>1114</v>
      </c>
      <c r="C1384" s="1" t="s">
        <v>1115</v>
      </c>
      <c r="D1384" s="1" t="str">
        <f t="shared" si="51"/>
        <v xml:space="preserve">0598-51-2626  </v>
      </c>
      <c r="E1384" s="1" t="s">
        <v>123</v>
      </c>
    </row>
    <row r="1385" spans="1:5" x14ac:dyDescent="0.55000000000000004">
      <c r="A1385" s="1" t="s">
        <v>2141</v>
      </c>
      <c r="B1385" s="1" t="s">
        <v>1114</v>
      </c>
      <c r="C1385" s="1" t="s">
        <v>1115</v>
      </c>
      <c r="D1385" s="1" t="str">
        <f t="shared" si="51"/>
        <v xml:space="preserve">0598-51-2626  </v>
      </c>
      <c r="E1385" s="1" t="s">
        <v>6</v>
      </c>
    </row>
    <row r="1386" spans="1:5" x14ac:dyDescent="0.55000000000000004">
      <c r="A1386" s="1" t="s">
        <v>2520</v>
      </c>
      <c r="B1386" s="1" t="s">
        <v>1114</v>
      </c>
      <c r="C1386" s="1" t="s">
        <v>1115</v>
      </c>
      <c r="D1386" s="1" t="str">
        <f t="shared" si="51"/>
        <v xml:space="preserve">0598-51-2626  </v>
      </c>
      <c r="E1386" s="1" t="s">
        <v>107</v>
      </c>
    </row>
    <row r="1387" spans="1:5" x14ac:dyDescent="0.55000000000000004">
      <c r="A1387" s="1" t="s">
        <v>1113</v>
      </c>
      <c r="B1387" s="1" t="s">
        <v>1114</v>
      </c>
      <c r="C1387" s="1" t="s">
        <v>1115</v>
      </c>
      <c r="D1387" s="1" t="str">
        <f t="shared" si="51"/>
        <v xml:space="preserve">0598-51-2626  </v>
      </c>
      <c r="E1387" s="1" t="s">
        <v>6</v>
      </c>
    </row>
    <row r="1388" spans="1:5" x14ac:dyDescent="0.55000000000000004">
      <c r="A1388" s="1" t="s">
        <v>1254</v>
      </c>
      <c r="B1388" s="1" t="s">
        <v>1114</v>
      </c>
      <c r="C1388" s="1" t="s">
        <v>1115</v>
      </c>
      <c r="D1388" s="1" t="str">
        <f t="shared" si="51"/>
        <v xml:space="preserve">0598-51-2626  </v>
      </c>
      <c r="E1388" s="1" t="s">
        <v>111</v>
      </c>
    </row>
    <row r="1389" spans="1:5" x14ac:dyDescent="0.55000000000000004">
      <c r="A1389" s="1" t="s">
        <v>1318</v>
      </c>
      <c r="B1389" s="1" t="s">
        <v>1114</v>
      </c>
      <c r="C1389" s="1" t="s">
        <v>1115</v>
      </c>
      <c r="D1389" s="1" t="str">
        <f t="shared" si="51"/>
        <v xml:space="preserve">0598-51-2626  </v>
      </c>
      <c r="E1389" s="1" t="s">
        <v>1319</v>
      </c>
    </row>
    <row r="1390" spans="1:5" x14ac:dyDescent="0.55000000000000004">
      <c r="A1390" s="1" t="s">
        <v>1332</v>
      </c>
      <c r="B1390" s="1" t="s">
        <v>1114</v>
      </c>
      <c r="C1390" s="1" t="s">
        <v>1115</v>
      </c>
      <c r="D1390" s="1" t="str">
        <f t="shared" si="51"/>
        <v xml:space="preserve">0598-51-2626  </v>
      </c>
      <c r="E1390" s="1" t="s">
        <v>81</v>
      </c>
    </row>
    <row r="1391" spans="1:5" x14ac:dyDescent="0.55000000000000004">
      <c r="A1391" s="1" t="s">
        <v>1353</v>
      </c>
      <c r="B1391" s="1" t="s">
        <v>1114</v>
      </c>
      <c r="C1391" s="1" t="s">
        <v>1115</v>
      </c>
      <c r="D1391" s="1" t="str">
        <f t="shared" si="51"/>
        <v xml:space="preserve">0598-51-2626  </v>
      </c>
      <c r="E1391" s="1" t="s">
        <v>23</v>
      </c>
    </row>
    <row r="1392" spans="1:5" x14ac:dyDescent="0.55000000000000004">
      <c r="A1392" s="1" t="s">
        <v>1466</v>
      </c>
      <c r="B1392" s="1" t="s">
        <v>1114</v>
      </c>
      <c r="C1392" s="1" t="s">
        <v>1115</v>
      </c>
      <c r="D1392" s="1" t="str">
        <f t="shared" si="51"/>
        <v xml:space="preserve">0598-51-2626  </v>
      </c>
      <c r="E1392" s="1" t="s">
        <v>10</v>
      </c>
    </row>
    <row r="1393" spans="1:5" x14ac:dyDescent="0.55000000000000004">
      <c r="A1393" s="1" t="s">
        <v>1513</v>
      </c>
      <c r="B1393" s="1" t="s">
        <v>1114</v>
      </c>
      <c r="C1393" s="1" t="s">
        <v>1115</v>
      </c>
      <c r="D1393" s="1" t="str">
        <f t="shared" si="51"/>
        <v xml:space="preserve">0598-51-2626  </v>
      </c>
      <c r="E1393" s="1" t="s">
        <v>6</v>
      </c>
    </row>
    <row r="1394" spans="1:5" x14ac:dyDescent="0.55000000000000004">
      <c r="A1394" s="1" t="s">
        <v>1514</v>
      </c>
      <c r="B1394" s="1" t="s">
        <v>1114</v>
      </c>
      <c r="C1394" s="1" t="s">
        <v>1115</v>
      </c>
      <c r="D1394" s="1" t="str">
        <f t="shared" si="51"/>
        <v xml:space="preserve">0598-51-2626  </v>
      </c>
      <c r="E1394" s="1" t="s">
        <v>107</v>
      </c>
    </row>
    <row r="1395" spans="1:5" x14ac:dyDescent="0.55000000000000004">
      <c r="A1395" s="1" t="s">
        <v>1515</v>
      </c>
      <c r="B1395" s="1" t="s">
        <v>1114</v>
      </c>
      <c r="C1395" s="1" t="s">
        <v>1115</v>
      </c>
      <c r="D1395" s="1" t="str">
        <f t="shared" si="51"/>
        <v xml:space="preserve">0598-51-2626  </v>
      </c>
      <c r="E1395" s="1" t="s">
        <v>6</v>
      </c>
    </row>
    <row r="1396" spans="1:5" x14ac:dyDescent="0.55000000000000004">
      <c r="A1396" s="1" t="s">
        <v>1518</v>
      </c>
      <c r="B1396" s="1" t="s">
        <v>1114</v>
      </c>
      <c r="C1396" s="1" t="s">
        <v>1115</v>
      </c>
      <c r="D1396" s="1" t="str">
        <f t="shared" si="51"/>
        <v xml:space="preserve">0598-51-2626  </v>
      </c>
      <c r="E1396" s="1" t="s">
        <v>216</v>
      </c>
    </row>
    <row r="1397" spans="1:5" x14ac:dyDescent="0.55000000000000004">
      <c r="A1397" s="1" t="s">
        <v>1519</v>
      </c>
      <c r="B1397" s="1" t="s">
        <v>1114</v>
      </c>
      <c r="C1397" s="1" t="s">
        <v>1115</v>
      </c>
      <c r="D1397" s="1" t="str">
        <f t="shared" si="51"/>
        <v xml:space="preserve">0598-51-2626  </v>
      </c>
      <c r="E1397" s="1" t="s">
        <v>216</v>
      </c>
    </row>
    <row r="1398" spans="1:5" x14ac:dyDescent="0.55000000000000004">
      <c r="A1398" s="1" t="s">
        <v>1520</v>
      </c>
      <c r="B1398" s="1" t="s">
        <v>1114</v>
      </c>
      <c r="C1398" s="1" t="s">
        <v>1115</v>
      </c>
      <c r="D1398" s="1" t="str">
        <f t="shared" si="51"/>
        <v xml:space="preserve">0598-51-2626  </v>
      </c>
      <c r="E1398" s="1" t="s">
        <v>111</v>
      </c>
    </row>
    <row r="1399" spans="1:5" x14ac:dyDescent="0.55000000000000004">
      <c r="A1399" s="1" t="s">
        <v>1522</v>
      </c>
      <c r="B1399" s="1" t="s">
        <v>1114</v>
      </c>
      <c r="C1399" s="1" t="s">
        <v>1115</v>
      </c>
      <c r="D1399" s="1" t="str">
        <f t="shared" si="51"/>
        <v xml:space="preserve">0598-51-2626  </v>
      </c>
      <c r="E1399" s="1" t="s">
        <v>6</v>
      </c>
    </row>
    <row r="1400" spans="1:5" x14ac:dyDescent="0.55000000000000004">
      <c r="A1400" s="1" t="s">
        <v>1523</v>
      </c>
      <c r="B1400" s="1" t="s">
        <v>1114</v>
      </c>
      <c r="C1400" s="1" t="s">
        <v>1115</v>
      </c>
      <c r="D1400" s="1" t="str">
        <f t="shared" si="51"/>
        <v xml:space="preserve">0598-51-2626  </v>
      </c>
      <c r="E1400" s="1" t="s">
        <v>6</v>
      </c>
    </row>
    <row r="1401" spans="1:5" x14ac:dyDescent="0.55000000000000004">
      <c r="A1401" s="1" t="s">
        <v>1525</v>
      </c>
      <c r="B1401" s="1" t="s">
        <v>1114</v>
      </c>
      <c r="C1401" s="1" t="s">
        <v>1115</v>
      </c>
      <c r="D1401" s="1" t="str">
        <f t="shared" si="51"/>
        <v xml:space="preserve">0598-51-2626  </v>
      </c>
      <c r="E1401" s="1" t="s">
        <v>14</v>
      </c>
    </row>
    <row r="1402" spans="1:5" x14ac:dyDescent="0.55000000000000004">
      <c r="A1402" s="1" t="s">
        <v>1526</v>
      </c>
      <c r="B1402" s="1" t="s">
        <v>1114</v>
      </c>
      <c r="C1402" s="1" t="s">
        <v>1115</v>
      </c>
      <c r="D1402" s="1" t="str">
        <f t="shared" si="51"/>
        <v xml:space="preserve">0598-51-2626  </v>
      </c>
      <c r="E1402" s="1" t="s">
        <v>14</v>
      </c>
    </row>
    <row r="1403" spans="1:5" x14ac:dyDescent="0.55000000000000004">
      <c r="A1403" s="1" t="s">
        <v>1527</v>
      </c>
      <c r="B1403" s="1" t="s">
        <v>1114</v>
      </c>
      <c r="C1403" s="1" t="s">
        <v>1115</v>
      </c>
      <c r="D1403" s="1" t="str">
        <f t="shared" si="51"/>
        <v xml:space="preserve">0598-51-2626  </v>
      </c>
      <c r="E1403" s="1" t="s">
        <v>14</v>
      </c>
    </row>
    <row r="1404" spans="1:5" x14ac:dyDescent="0.55000000000000004">
      <c r="A1404" s="1" t="s">
        <v>1528</v>
      </c>
      <c r="B1404" s="1" t="s">
        <v>1114</v>
      </c>
      <c r="C1404" s="1" t="s">
        <v>1115</v>
      </c>
      <c r="D1404" s="1" t="str">
        <f t="shared" si="51"/>
        <v xml:space="preserve">0598-51-2626  </v>
      </c>
      <c r="E1404" s="1" t="s">
        <v>107</v>
      </c>
    </row>
    <row r="1405" spans="1:5" x14ac:dyDescent="0.55000000000000004">
      <c r="A1405" s="1" t="s">
        <v>1529</v>
      </c>
      <c r="B1405" s="1" t="s">
        <v>1114</v>
      </c>
      <c r="C1405" s="1" t="s">
        <v>1115</v>
      </c>
      <c r="D1405" s="1" t="str">
        <f t="shared" si="51"/>
        <v xml:space="preserve">0598-51-2626  </v>
      </c>
      <c r="E1405" s="1" t="s">
        <v>131</v>
      </c>
    </row>
    <row r="1406" spans="1:5" x14ac:dyDescent="0.55000000000000004">
      <c r="A1406" s="1" t="s">
        <v>1530</v>
      </c>
      <c r="B1406" s="1" t="s">
        <v>1114</v>
      </c>
      <c r="C1406" s="1" t="s">
        <v>1115</v>
      </c>
      <c r="D1406" s="1" t="str">
        <f t="shared" si="51"/>
        <v xml:space="preserve">0598-51-2626  </v>
      </c>
      <c r="E1406" s="1" t="s">
        <v>131</v>
      </c>
    </row>
    <row r="1407" spans="1:5" x14ac:dyDescent="0.55000000000000004">
      <c r="A1407" s="1" t="s">
        <v>1531</v>
      </c>
      <c r="B1407" s="1" t="s">
        <v>1114</v>
      </c>
      <c r="C1407" s="1" t="s">
        <v>1115</v>
      </c>
      <c r="D1407" s="1" t="str">
        <f t="shared" si="51"/>
        <v xml:space="preserve">0598-51-2626  </v>
      </c>
      <c r="E1407" s="1" t="s">
        <v>14</v>
      </c>
    </row>
    <row r="1408" spans="1:5" x14ac:dyDescent="0.55000000000000004">
      <c r="A1408" s="1" t="s">
        <v>1532</v>
      </c>
      <c r="B1408" s="1" t="s">
        <v>1114</v>
      </c>
      <c r="C1408" s="1" t="s">
        <v>1115</v>
      </c>
      <c r="D1408" s="1" t="str">
        <f t="shared" si="51"/>
        <v xml:space="preserve">0598-51-2626  </v>
      </c>
      <c r="E1408" s="1" t="s">
        <v>23</v>
      </c>
    </row>
    <row r="1409" spans="1:5" x14ac:dyDescent="0.55000000000000004">
      <c r="A1409" s="1" t="s">
        <v>1533</v>
      </c>
      <c r="B1409" s="1" t="s">
        <v>1114</v>
      </c>
      <c r="C1409" s="1" t="s">
        <v>1115</v>
      </c>
      <c r="D1409" s="1" t="str">
        <f t="shared" si="51"/>
        <v xml:space="preserve">0598-51-2626  </v>
      </c>
      <c r="E1409" s="1" t="s">
        <v>23</v>
      </c>
    </row>
    <row r="1410" spans="1:5" x14ac:dyDescent="0.55000000000000004">
      <c r="A1410" s="1" t="s">
        <v>1536</v>
      </c>
      <c r="B1410" s="1" t="s">
        <v>1114</v>
      </c>
      <c r="C1410" s="1" t="s">
        <v>1115</v>
      </c>
      <c r="D1410" s="1" t="str">
        <f t="shared" si="51"/>
        <v xml:space="preserve">0598-51-2626  </v>
      </c>
      <c r="E1410" s="1" t="s">
        <v>6</v>
      </c>
    </row>
    <row r="1411" spans="1:5" x14ac:dyDescent="0.55000000000000004">
      <c r="A1411" s="1" t="s">
        <v>1537</v>
      </c>
      <c r="B1411" s="1" t="s">
        <v>1114</v>
      </c>
      <c r="C1411" s="1" t="s">
        <v>1115</v>
      </c>
      <c r="D1411" s="1" t="str">
        <f t="shared" si="51"/>
        <v xml:space="preserve">0598-51-2626  </v>
      </c>
      <c r="E1411" s="1" t="s">
        <v>6</v>
      </c>
    </row>
    <row r="1412" spans="1:5" x14ac:dyDescent="0.55000000000000004">
      <c r="A1412" s="1" t="s">
        <v>1538</v>
      </c>
      <c r="B1412" s="1" t="s">
        <v>1114</v>
      </c>
      <c r="C1412" s="1" t="s">
        <v>1115</v>
      </c>
      <c r="D1412" s="1" t="str">
        <f t="shared" si="51"/>
        <v xml:space="preserve">0598-51-2626  </v>
      </c>
      <c r="E1412" s="1" t="s">
        <v>6</v>
      </c>
    </row>
    <row r="1413" spans="1:5" x14ac:dyDescent="0.55000000000000004">
      <c r="A1413" s="1" t="s">
        <v>1539</v>
      </c>
      <c r="B1413" s="1" t="s">
        <v>1114</v>
      </c>
      <c r="C1413" s="1" t="s">
        <v>1115</v>
      </c>
      <c r="D1413" s="1" t="str">
        <f t="shared" si="51"/>
        <v xml:space="preserve">0598-51-2626  </v>
      </c>
      <c r="E1413" s="1" t="s">
        <v>6</v>
      </c>
    </row>
    <row r="1414" spans="1:5" x14ac:dyDescent="0.55000000000000004">
      <c r="A1414" s="1" t="s">
        <v>1540</v>
      </c>
      <c r="B1414" s="1" t="s">
        <v>1114</v>
      </c>
      <c r="C1414" s="1" t="s">
        <v>1115</v>
      </c>
      <c r="D1414" s="1" t="str">
        <f t="shared" si="51"/>
        <v xml:space="preserve">0598-51-2626  </v>
      </c>
      <c r="E1414" s="1" t="s">
        <v>6</v>
      </c>
    </row>
    <row r="1415" spans="1:5" x14ac:dyDescent="0.55000000000000004">
      <c r="A1415" s="1" t="s">
        <v>1541</v>
      </c>
      <c r="B1415" s="1" t="s">
        <v>1114</v>
      </c>
      <c r="C1415" s="1" t="s">
        <v>1115</v>
      </c>
      <c r="D1415" s="1" t="str">
        <f t="shared" si="51"/>
        <v xml:space="preserve">0598-51-2626  </v>
      </c>
      <c r="E1415" s="1" t="s">
        <v>23</v>
      </c>
    </row>
    <row r="1416" spans="1:5" x14ac:dyDescent="0.55000000000000004">
      <c r="A1416" s="1" t="s">
        <v>1902</v>
      </c>
      <c r="B1416" s="1" t="s">
        <v>1114</v>
      </c>
      <c r="C1416" s="1" t="s">
        <v>1115</v>
      </c>
      <c r="D1416" s="1" t="str">
        <f t="shared" si="51"/>
        <v xml:space="preserve">0598-51-2626  </v>
      </c>
      <c r="E1416" s="1" t="s">
        <v>131</v>
      </c>
    </row>
    <row r="1417" spans="1:5" x14ac:dyDescent="0.55000000000000004">
      <c r="A1417" s="1" t="s">
        <v>1998</v>
      </c>
      <c r="B1417" s="1" t="s">
        <v>1114</v>
      </c>
      <c r="C1417" s="1" t="s">
        <v>1115</v>
      </c>
      <c r="D1417" s="1" t="str">
        <f t="shared" si="51"/>
        <v xml:space="preserve">0598-51-2626  </v>
      </c>
      <c r="E1417" s="1" t="s">
        <v>111</v>
      </c>
    </row>
    <row r="1418" spans="1:5" x14ac:dyDescent="0.55000000000000004">
      <c r="A1418" s="1" t="s">
        <v>2739</v>
      </c>
      <c r="B1418" s="1" t="s">
        <v>1114</v>
      </c>
      <c r="C1418" s="1" t="s">
        <v>1115</v>
      </c>
      <c r="D1418" s="1" t="str">
        <f t="shared" si="51"/>
        <v xml:space="preserve">0598-51-2626  </v>
      </c>
      <c r="E1418" s="1" t="s">
        <v>34</v>
      </c>
    </row>
    <row r="1419" spans="1:5" x14ac:dyDescent="0.55000000000000004">
      <c r="A1419" s="1" t="s">
        <v>1897</v>
      </c>
      <c r="B1419" s="1" t="s">
        <v>1114</v>
      </c>
      <c r="C1419" s="1" t="s">
        <v>1115</v>
      </c>
      <c r="D1419" s="1" t="str">
        <f t="shared" si="51"/>
        <v xml:space="preserve">0598-51-2626  </v>
      </c>
      <c r="E1419" s="1" t="s">
        <v>216</v>
      </c>
    </row>
    <row r="1420" spans="1:5" x14ac:dyDescent="0.55000000000000004">
      <c r="A1420" s="1" t="s">
        <v>2240</v>
      </c>
      <c r="B1420" s="1" t="s">
        <v>1114</v>
      </c>
      <c r="C1420" s="1" t="s">
        <v>1115</v>
      </c>
      <c r="D1420" s="1" t="str">
        <f t="shared" si="51"/>
        <v xml:space="preserve">0598-51-2626  </v>
      </c>
      <c r="E1420" s="1" t="s">
        <v>6</v>
      </c>
    </row>
    <row r="1421" spans="1:5" x14ac:dyDescent="0.55000000000000004">
      <c r="A1421" s="1" t="s">
        <v>959</v>
      </c>
      <c r="B1421" s="1" t="s">
        <v>960</v>
      </c>
      <c r="C1421" s="1" t="str">
        <f>"松阪市船江町519-1"</f>
        <v>松阪市船江町519-1</v>
      </c>
      <c r="D1421" s="1" t="str">
        <f>"0598-23-3866  "</f>
        <v xml:space="preserve">0598-23-3866  </v>
      </c>
      <c r="E1421" s="1" t="s">
        <v>14</v>
      </c>
    </row>
    <row r="1422" spans="1:5" x14ac:dyDescent="0.55000000000000004">
      <c r="A1422" s="1" t="s">
        <v>510</v>
      </c>
      <c r="B1422" s="1" t="s">
        <v>511</v>
      </c>
      <c r="C1422" s="1" t="s">
        <v>512</v>
      </c>
      <c r="D1422" s="1" t="str">
        <f>"0598-50-5070  "</f>
        <v xml:space="preserve">0598-50-5070  </v>
      </c>
      <c r="E1422" s="1" t="s">
        <v>34</v>
      </c>
    </row>
    <row r="1423" spans="1:5" x14ac:dyDescent="0.55000000000000004">
      <c r="A1423" s="1" t="s">
        <v>1936</v>
      </c>
      <c r="B1423" s="1" t="s">
        <v>1067</v>
      </c>
      <c r="C1423" s="1" t="str">
        <f t="shared" ref="C1423:C1430" si="52">"松阪市久保町1927-2"</f>
        <v>松阪市久保町1927-2</v>
      </c>
      <c r="D1423" s="1" t="str">
        <f t="shared" ref="D1423:D1430" si="53">"0598-29-1311  "</f>
        <v xml:space="preserve">0598-29-1311  </v>
      </c>
      <c r="E1423" s="1" t="s">
        <v>6</v>
      </c>
    </row>
    <row r="1424" spans="1:5" x14ac:dyDescent="0.55000000000000004">
      <c r="A1424" s="1" t="s">
        <v>2085</v>
      </c>
      <c r="B1424" s="1" t="s">
        <v>1067</v>
      </c>
      <c r="C1424" s="1" t="str">
        <f t="shared" si="52"/>
        <v>松阪市久保町1927-2</v>
      </c>
      <c r="D1424" s="1" t="str">
        <f t="shared" si="53"/>
        <v xml:space="preserve">0598-29-1311  </v>
      </c>
      <c r="E1424" s="1" t="s">
        <v>65</v>
      </c>
    </row>
    <row r="1425" spans="1:5" x14ac:dyDescent="0.55000000000000004">
      <c r="A1425" s="1" t="s">
        <v>2490</v>
      </c>
      <c r="B1425" s="1" t="s">
        <v>1067</v>
      </c>
      <c r="C1425" s="1" t="str">
        <f t="shared" si="52"/>
        <v>松阪市久保町1927-2</v>
      </c>
      <c r="D1425" s="1" t="str">
        <f t="shared" si="53"/>
        <v xml:space="preserve">0598-29-1311  </v>
      </c>
      <c r="E1425" s="1" t="s">
        <v>65</v>
      </c>
    </row>
    <row r="1426" spans="1:5" x14ac:dyDescent="0.55000000000000004">
      <c r="A1426" s="1" t="s">
        <v>2489</v>
      </c>
      <c r="B1426" s="1" t="s">
        <v>1067</v>
      </c>
      <c r="C1426" s="1" t="str">
        <f t="shared" si="52"/>
        <v>松阪市久保町1927-2</v>
      </c>
      <c r="D1426" s="1" t="str">
        <f t="shared" si="53"/>
        <v xml:space="preserve">0598-29-1311  </v>
      </c>
      <c r="E1426" s="1" t="s">
        <v>65</v>
      </c>
    </row>
    <row r="1427" spans="1:5" x14ac:dyDescent="0.55000000000000004">
      <c r="A1427" s="1" t="s">
        <v>1604</v>
      </c>
      <c r="B1427" s="1" t="s">
        <v>1067</v>
      </c>
      <c r="C1427" s="1" t="str">
        <f t="shared" si="52"/>
        <v>松阪市久保町1927-2</v>
      </c>
      <c r="D1427" s="1" t="str">
        <f t="shared" si="53"/>
        <v xml:space="preserve">0598-29-1311  </v>
      </c>
      <c r="E1427" s="1" t="s">
        <v>6</v>
      </c>
    </row>
    <row r="1428" spans="1:5" x14ac:dyDescent="0.55000000000000004">
      <c r="A1428" s="1" t="s">
        <v>1605</v>
      </c>
      <c r="B1428" s="1" t="s">
        <v>1067</v>
      </c>
      <c r="C1428" s="1" t="str">
        <f t="shared" si="52"/>
        <v>松阪市久保町1927-2</v>
      </c>
      <c r="D1428" s="1" t="str">
        <f t="shared" si="53"/>
        <v xml:space="preserve">0598-29-1311  </v>
      </c>
      <c r="E1428" s="1" t="s">
        <v>6</v>
      </c>
    </row>
    <row r="1429" spans="1:5" x14ac:dyDescent="0.55000000000000004">
      <c r="A1429" s="1" t="s">
        <v>2663</v>
      </c>
      <c r="B1429" s="1" t="s">
        <v>1067</v>
      </c>
      <c r="C1429" s="1" t="str">
        <f t="shared" si="52"/>
        <v>松阪市久保町1927-2</v>
      </c>
      <c r="D1429" s="1" t="str">
        <f t="shared" si="53"/>
        <v xml:space="preserve">0598-29-1311  </v>
      </c>
      <c r="E1429" s="1" t="s">
        <v>6</v>
      </c>
    </row>
    <row r="1430" spans="1:5" x14ac:dyDescent="0.55000000000000004">
      <c r="A1430" s="1" t="s">
        <v>2246</v>
      </c>
      <c r="B1430" s="1" t="s">
        <v>1067</v>
      </c>
      <c r="C1430" s="1" t="str">
        <f t="shared" si="52"/>
        <v>松阪市久保町1927-2</v>
      </c>
      <c r="D1430" s="1" t="str">
        <f t="shared" si="53"/>
        <v xml:space="preserve">0598-29-1311  </v>
      </c>
      <c r="E1430" s="1" t="s">
        <v>65</v>
      </c>
    </row>
    <row r="1431" spans="1:5" x14ac:dyDescent="0.55000000000000004">
      <c r="A1431" s="1" t="s">
        <v>2396</v>
      </c>
      <c r="B1431" s="1" t="s">
        <v>119</v>
      </c>
      <c r="C1431" s="1" t="s">
        <v>428</v>
      </c>
      <c r="D1431" s="1" t="str">
        <f t="shared" ref="D1431:D1454" si="54">"0598-23-1515  "</f>
        <v xml:space="preserve">0598-23-1515  </v>
      </c>
      <c r="E1431" s="1" t="s">
        <v>35</v>
      </c>
    </row>
    <row r="1432" spans="1:5" x14ac:dyDescent="0.55000000000000004">
      <c r="A1432" s="1" t="s">
        <v>2081</v>
      </c>
      <c r="B1432" s="1" t="s">
        <v>119</v>
      </c>
      <c r="C1432" s="1" t="s">
        <v>428</v>
      </c>
      <c r="D1432" s="1" t="str">
        <f t="shared" si="54"/>
        <v xml:space="preserve">0598-23-1515  </v>
      </c>
      <c r="E1432" s="1" t="s">
        <v>23</v>
      </c>
    </row>
    <row r="1433" spans="1:5" x14ac:dyDescent="0.55000000000000004">
      <c r="A1433" s="1" t="s">
        <v>2457</v>
      </c>
      <c r="B1433" s="1" t="s">
        <v>119</v>
      </c>
      <c r="C1433" s="1" t="s">
        <v>428</v>
      </c>
      <c r="D1433" s="1" t="str">
        <f t="shared" si="54"/>
        <v xml:space="preserve">0598-23-1515  </v>
      </c>
      <c r="E1433" s="1" t="s">
        <v>858</v>
      </c>
    </row>
    <row r="1434" spans="1:5" x14ac:dyDescent="0.55000000000000004">
      <c r="A1434" s="1" t="s">
        <v>2458</v>
      </c>
      <c r="B1434" s="1" t="s">
        <v>119</v>
      </c>
      <c r="C1434" s="1" t="s">
        <v>428</v>
      </c>
      <c r="D1434" s="1" t="str">
        <f t="shared" si="54"/>
        <v xml:space="preserve">0598-23-1515  </v>
      </c>
      <c r="E1434" s="1" t="s">
        <v>23</v>
      </c>
    </row>
    <row r="1435" spans="1:5" x14ac:dyDescent="0.55000000000000004">
      <c r="A1435" s="1" t="s">
        <v>2459</v>
      </c>
      <c r="B1435" s="1" t="s">
        <v>119</v>
      </c>
      <c r="C1435" s="1" t="s">
        <v>428</v>
      </c>
      <c r="D1435" s="1" t="str">
        <f t="shared" si="54"/>
        <v xml:space="preserve">0598-23-1515  </v>
      </c>
      <c r="E1435" s="1" t="s">
        <v>23</v>
      </c>
    </row>
    <row r="1436" spans="1:5" x14ac:dyDescent="0.55000000000000004">
      <c r="A1436" s="1" t="s">
        <v>2460</v>
      </c>
      <c r="B1436" s="1" t="s">
        <v>119</v>
      </c>
      <c r="C1436" s="1" t="s">
        <v>428</v>
      </c>
      <c r="D1436" s="1" t="str">
        <f t="shared" si="54"/>
        <v xml:space="preserve">0598-23-1515  </v>
      </c>
      <c r="E1436" s="1" t="s">
        <v>35</v>
      </c>
    </row>
    <row r="1437" spans="1:5" x14ac:dyDescent="0.55000000000000004">
      <c r="A1437" s="1" t="s">
        <v>2461</v>
      </c>
      <c r="B1437" s="1" t="s">
        <v>119</v>
      </c>
      <c r="C1437" s="1" t="s">
        <v>428</v>
      </c>
      <c r="D1437" s="1" t="str">
        <f t="shared" si="54"/>
        <v xml:space="preserve">0598-23-1515  </v>
      </c>
      <c r="E1437" s="1" t="s">
        <v>35</v>
      </c>
    </row>
    <row r="1438" spans="1:5" x14ac:dyDescent="0.55000000000000004">
      <c r="A1438" s="1" t="s">
        <v>2462</v>
      </c>
      <c r="B1438" s="1" t="s">
        <v>119</v>
      </c>
      <c r="C1438" s="1" t="s">
        <v>428</v>
      </c>
      <c r="D1438" s="1" t="str">
        <f t="shared" si="54"/>
        <v xml:space="preserve">0598-23-1515  </v>
      </c>
      <c r="E1438" s="1" t="s">
        <v>35</v>
      </c>
    </row>
    <row r="1439" spans="1:5" x14ac:dyDescent="0.55000000000000004">
      <c r="A1439" s="1" t="s">
        <v>852</v>
      </c>
      <c r="B1439" s="1" t="s">
        <v>119</v>
      </c>
      <c r="C1439" s="1" t="s">
        <v>428</v>
      </c>
      <c r="D1439" s="1" t="str">
        <f t="shared" si="54"/>
        <v xml:space="preserve">0598-23-1515  </v>
      </c>
      <c r="E1439" s="1" t="s">
        <v>14</v>
      </c>
    </row>
    <row r="1440" spans="1:5" x14ac:dyDescent="0.55000000000000004">
      <c r="A1440" s="1" t="s">
        <v>2133</v>
      </c>
      <c r="B1440" s="1" t="s">
        <v>119</v>
      </c>
      <c r="C1440" s="1" t="s">
        <v>428</v>
      </c>
      <c r="D1440" s="1" t="str">
        <f t="shared" si="54"/>
        <v xml:space="preserve">0598-23-1515  </v>
      </c>
      <c r="E1440" s="1" t="s">
        <v>14</v>
      </c>
    </row>
    <row r="1441" spans="1:5" x14ac:dyDescent="0.55000000000000004">
      <c r="A1441" s="1" t="s">
        <v>3033</v>
      </c>
      <c r="B1441" s="1" t="s">
        <v>119</v>
      </c>
      <c r="C1441" s="1" t="s">
        <v>428</v>
      </c>
      <c r="D1441" s="1" t="str">
        <f t="shared" si="54"/>
        <v xml:space="preserve">0598-23-1515  </v>
      </c>
      <c r="E1441" s="1" t="s">
        <v>35</v>
      </c>
    </row>
    <row r="1442" spans="1:5" x14ac:dyDescent="0.55000000000000004">
      <c r="A1442" s="1" t="s">
        <v>427</v>
      </c>
      <c r="B1442" s="1" t="s">
        <v>119</v>
      </c>
      <c r="C1442" s="1" t="s">
        <v>428</v>
      </c>
      <c r="D1442" s="1" t="str">
        <f t="shared" si="54"/>
        <v xml:space="preserve">0598-23-1515  </v>
      </c>
      <c r="E1442" s="1" t="s">
        <v>35</v>
      </c>
    </row>
    <row r="1443" spans="1:5" x14ac:dyDescent="0.55000000000000004">
      <c r="A1443" s="1" t="s">
        <v>917</v>
      </c>
      <c r="B1443" s="1" t="s">
        <v>119</v>
      </c>
      <c r="C1443" s="1" t="s">
        <v>428</v>
      </c>
      <c r="D1443" s="1" t="str">
        <f t="shared" si="54"/>
        <v xml:space="preserve">0598-23-1515  </v>
      </c>
      <c r="E1443" s="1" t="s">
        <v>34</v>
      </c>
    </row>
    <row r="1444" spans="1:5" x14ac:dyDescent="0.55000000000000004">
      <c r="A1444" s="1" t="s">
        <v>922</v>
      </c>
      <c r="B1444" s="1" t="s">
        <v>119</v>
      </c>
      <c r="C1444" s="1" t="s">
        <v>428</v>
      </c>
      <c r="D1444" s="1" t="str">
        <f t="shared" si="54"/>
        <v xml:space="preserve">0598-23-1515  </v>
      </c>
      <c r="E1444" s="1" t="s">
        <v>10</v>
      </c>
    </row>
    <row r="1445" spans="1:5" x14ac:dyDescent="0.55000000000000004">
      <c r="A1445" s="1" t="s">
        <v>923</v>
      </c>
      <c r="B1445" s="1" t="s">
        <v>119</v>
      </c>
      <c r="C1445" s="1" t="s">
        <v>428</v>
      </c>
      <c r="D1445" s="1" t="str">
        <f t="shared" si="54"/>
        <v xml:space="preserve">0598-23-1515  </v>
      </c>
      <c r="E1445" s="1" t="s">
        <v>216</v>
      </c>
    </row>
    <row r="1446" spans="1:5" x14ac:dyDescent="0.55000000000000004">
      <c r="A1446" s="1" t="s">
        <v>1008</v>
      </c>
      <c r="B1446" s="1" t="s">
        <v>119</v>
      </c>
      <c r="C1446" s="1" t="s">
        <v>428</v>
      </c>
      <c r="D1446" s="1" t="str">
        <f t="shared" si="54"/>
        <v xml:space="preserve">0598-23-1515  </v>
      </c>
      <c r="E1446" s="1" t="s">
        <v>59</v>
      </c>
    </row>
    <row r="1447" spans="1:5" x14ac:dyDescent="0.55000000000000004">
      <c r="A1447" s="1" t="s">
        <v>1071</v>
      </c>
      <c r="B1447" s="1" t="s">
        <v>119</v>
      </c>
      <c r="C1447" s="1" t="s">
        <v>428</v>
      </c>
      <c r="D1447" s="1" t="str">
        <f t="shared" si="54"/>
        <v xml:space="preserve">0598-23-1515  </v>
      </c>
      <c r="E1447" s="1" t="s">
        <v>81</v>
      </c>
    </row>
    <row r="1448" spans="1:5" x14ac:dyDescent="0.55000000000000004">
      <c r="A1448" s="1" t="s">
        <v>1098</v>
      </c>
      <c r="B1448" s="1" t="s">
        <v>119</v>
      </c>
      <c r="C1448" s="1" t="s">
        <v>428</v>
      </c>
      <c r="D1448" s="1" t="str">
        <f t="shared" si="54"/>
        <v xml:space="preserve">0598-23-1515  </v>
      </c>
      <c r="E1448" s="1" t="s">
        <v>216</v>
      </c>
    </row>
    <row r="1449" spans="1:5" x14ac:dyDescent="0.55000000000000004">
      <c r="A1449" s="1" t="s">
        <v>1234</v>
      </c>
      <c r="B1449" s="1" t="s">
        <v>119</v>
      </c>
      <c r="C1449" s="1" t="s">
        <v>428</v>
      </c>
      <c r="D1449" s="1" t="str">
        <f t="shared" si="54"/>
        <v xml:space="preserve">0598-23-1515  </v>
      </c>
      <c r="E1449" s="1" t="s">
        <v>858</v>
      </c>
    </row>
    <row r="1450" spans="1:5" x14ac:dyDescent="0.55000000000000004">
      <c r="A1450" s="1" t="s">
        <v>1307</v>
      </c>
      <c r="B1450" s="1" t="s">
        <v>119</v>
      </c>
      <c r="C1450" s="1" t="s">
        <v>428</v>
      </c>
      <c r="D1450" s="1" t="str">
        <f t="shared" si="54"/>
        <v xml:space="preserve">0598-23-1515  </v>
      </c>
      <c r="E1450" s="1" t="s">
        <v>34</v>
      </c>
    </row>
    <row r="1451" spans="1:5" x14ac:dyDescent="0.55000000000000004">
      <c r="A1451" s="1" t="s">
        <v>1371</v>
      </c>
      <c r="B1451" s="1" t="s">
        <v>119</v>
      </c>
      <c r="C1451" s="1" t="s">
        <v>428</v>
      </c>
      <c r="D1451" s="1" t="str">
        <f t="shared" si="54"/>
        <v xml:space="preserve">0598-23-1515  </v>
      </c>
      <c r="E1451" s="1" t="s">
        <v>35</v>
      </c>
    </row>
    <row r="1452" spans="1:5" x14ac:dyDescent="0.55000000000000004">
      <c r="A1452" s="1" t="s">
        <v>2574</v>
      </c>
      <c r="B1452" s="1" t="s">
        <v>119</v>
      </c>
      <c r="C1452" s="1" t="s">
        <v>428</v>
      </c>
      <c r="D1452" s="1" t="str">
        <f t="shared" si="54"/>
        <v xml:space="preserve">0598-23-1515  </v>
      </c>
      <c r="E1452" s="1" t="s">
        <v>35</v>
      </c>
    </row>
    <row r="1453" spans="1:5" x14ac:dyDescent="0.55000000000000004">
      <c r="A1453" s="1" t="s">
        <v>2702</v>
      </c>
      <c r="B1453" s="1" t="s">
        <v>119</v>
      </c>
      <c r="C1453" s="1" t="s">
        <v>428</v>
      </c>
      <c r="D1453" s="1" t="str">
        <f t="shared" si="54"/>
        <v xml:space="preserve">0598-23-1515  </v>
      </c>
      <c r="E1453" s="1" t="s">
        <v>81</v>
      </c>
    </row>
    <row r="1454" spans="1:5" x14ac:dyDescent="0.55000000000000004">
      <c r="A1454" s="1" t="s">
        <v>3066</v>
      </c>
      <c r="B1454" s="1" t="s">
        <v>3067</v>
      </c>
      <c r="C1454" s="1" t="s">
        <v>428</v>
      </c>
      <c r="D1454" s="1" t="str">
        <f t="shared" si="54"/>
        <v xml:space="preserve">0598-23-1515  </v>
      </c>
      <c r="E1454" s="1" t="s">
        <v>35</v>
      </c>
    </row>
    <row r="1455" spans="1:5" x14ac:dyDescent="0.55000000000000004">
      <c r="A1455" s="1" t="s">
        <v>364</v>
      </c>
      <c r="B1455" s="1" t="s">
        <v>365</v>
      </c>
      <c r="C1455" s="1" t="str">
        <f>"松阪市川井町728-8"</f>
        <v>松阪市川井町728-8</v>
      </c>
      <c r="D1455" s="1" t="str">
        <f>"0598-25-6800  "</f>
        <v xml:space="preserve">0598-25-6800  </v>
      </c>
      <c r="E1455" s="1" t="s">
        <v>153</v>
      </c>
    </row>
    <row r="1456" spans="1:5" x14ac:dyDescent="0.55000000000000004">
      <c r="A1456" s="1" t="s">
        <v>1885</v>
      </c>
      <c r="B1456" s="1" t="s">
        <v>1886</v>
      </c>
      <c r="C1456" s="1" t="s">
        <v>1887</v>
      </c>
      <c r="D1456" s="1" t="str">
        <f>"0598-56-5501  "</f>
        <v xml:space="preserve">0598-56-5501  </v>
      </c>
      <c r="E1456" s="1" t="s">
        <v>6</v>
      </c>
    </row>
    <row r="1457" spans="1:5" x14ac:dyDescent="0.55000000000000004">
      <c r="A1457" s="1" t="s">
        <v>918</v>
      </c>
      <c r="B1457" s="1" t="s">
        <v>919</v>
      </c>
      <c r="C1457" s="1" t="str">
        <f>"松阪市曽原町404-5"</f>
        <v>松阪市曽原町404-5</v>
      </c>
      <c r="D1457" s="1" t="str">
        <f>"0598-31-2266  "</f>
        <v xml:space="preserve">0598-31-2266  </v>
      </c>
      <c r="E1457" s="1" t="s">
        <v>528</v>
      </c>
    </row>
    <row r="1458" spans="1:5" x14ac:dyDescent="0.55000000000000004">
      <c r="A1458" s="1" t="s">
        <v>777</v>
      </c>
      <c r="B1458" s="1" t="s">
        <v>778</v>
      </c>
      <c r="C1458" s="1" t="str">
        <f>"松阪市高町192-5"</f>
        <v>松阪市高町192-5</v>
      </c>
      <c r="D1458" s="1" t="str">
        <f>"0598-52-2410  "</f>
        <v xml:space="preserve">0598-52-2410  </v>
      </c>
      <c r="E1458" s="1" t="s">
        <v>6</v>
      </c>
    </row>
    <row r="1459" spans="1:5" x14ac:dyDescent="0.55000000000000004">
      <c r="A1459" s="1" t="s">
        <v>687</v>
      </c>
      <c r="B1459" s="1" t="s">
        <v>688</v>
      </c>
      <c r="C1459" s="1" t="str">
        <f>"松阪市宝塚町1509-5"</f>
        <v>松阪市宝塚町1509-5</v>
      </c>
      <c r="D1459" s="1" t="str">
        <f>"0598-22-0220  "</f>
        <v xml:space="preserve">0598-22-0220  </v>
      </c>
      <c r="E1459" s="1" t="s">
        <v>455</v>
      </c>
    </row>
    <row r="1460" spans="1:5" x14ac:dyDescent="0.55000000000000004">
      <c r="A1460" s="1" t="s">
        <v>575</v>
      </c>
      <c r="B1460" s="1" t="s">
        <v>576</v>
      </c>
      <c r="C1460" s="1" t="str">
        <f>"松阪市大黒田町1841-1"</f>
        <v>松阪市大黒田町1841-1</v>
      </c>
      <c r="D1460" s="1" t="str">
        <f>"0598-25-0031  "</f>
        <v xml:space="preserve">0598-25-0031  </v>
      </c>
      <c r="E1460" s="1" t="s">
        <v>215</v>
      </c>
    </row>
    <row r="1461" spans="1:5" x14ac:dyDescent="0.55000000000000004">
      <c r="A1461" s="1" t="s">
        <v>379</v>
      </c>
      <c r="B1461" s="1" t="s">
        <v>380</v>
      </c>
      <c r="C1461" s="1" t="s">
        <v>381</v>
      </c>
      <c r="D1461" s="1" t="str">
        <f>"0598-21-0150  "</f>
        <v xml:space="preserve">0598-21-0150  </v>
      </c>
      <c r="E1461" s="1" t="s">
        <v>34</v>
      </c>
    </row>
    <row r="1462" spans="1:5" x14ac:dyDescent="0.55000000000000004">
      <c r="A1462" s="1" t="s">
        <v>2950</v>
      </c>
      <c r="B1462" s="1" t="s">
        <v>2951</v>
      </c>
      <c r="C1462" s="1" t="str">
        <f>"松阪市豊原町295-17"</f>
        <v>松阪市豊原町295-17</v>
      </c>
      <c r="D1462" s="1" t="str">
        <f>"0598-61-2080  "</f>
        <v xml:space="preserve">0598-61-2080  </v>
      </c>
      <c r="E1462" s="1" t="s">
        <v>106</v>
      </c>
    </row>
    <row r="1463" spans="1:5" x14ac:dyDescent="0.55000000000000004">
      <c r="A1463" s="1" t="s">
        <v>445</v>
      </c>
      <c r="B1463" s="1" t="s">
        <v>446</v>
      </c>
      <c r="C1463" s="1" t="str">
        <f>"松阪市射和町307-1"</f>
        <v>松阪市射和町307-1</v>
      </c>
      <c r="D1463" s="1" t="str">
        <f>"0598-29-7272  "</f>
        <v xml:space="preserve">0598-29-7272  </v>
      </c>
      <c r="E1463" s="1" t="s">
        <v>33</v>
      </c>
    </row>
    <row r="1464" spans="1:5" x14ac:dyDescent="0.55000000000000004">
      <c r="A1464" s="1" t="s">
        <v>1913</v>
      </c>
      <c r="B1464" s="1" t="s">
        <v>76</v>
      </c>
      <c r="C1464" s="1" t="str">
        <f>"松阪市猟師町高須72-1"</f>
        <v>松阪市猟師町高須72-1</v>
      </c>
      <c r="D1464" s="1" t="str">
        <f>"0598-51-9200  "</f>
        <v xml:space="preserve">0598-51-9200  </v>
      </c>
      <c r="E1464" s="1" t="s">
        <v>23</v>
      </c>
    </row>
    <row r="1465" spans="1:5" x14ac:dyDescent="0.55000000000000004">
      <c r="A1465" s="1" t="s">
        <v>1349</v>
      </c>
      <c r="B1465" s="1" t="s">
        <v>1350</v>
      </c>
      <c r="C1465" s="1" t="s">
        <v>1351</v>
      </c>
      <c r="D1465" s="1" t="str">
        <f>"0598-31-1009  "</f>
        <v xml:space="preserve">0598-31-1009  </v>
      </c>
      <c r="E1465" s="1" t="s">
        <v>1352</v>
      </c>
    </row>
    <row r="1466" spans="1:5" x14ac:dyDescent="0.55000000000000004">
      <c r="A1466" s="1" t="s">
        <v>63</v>
      </c>
      <c r="B1466" s="1" t="s">
        <v>64</v>
      </c>
      <c r="C1466" s="1" t="s">
        <v>2000</v>
      </c>
      <c r="D1466" s="1" t="str">
        <f>"0598-29-1721  "</f>
        <v xml:space="preserve">0598-29-1721  </v>
      </c>
      <c r="E1466" s="1" t="s">
        <v>65</v>
      </c>
    </row>
    <row r="1467" spans="1:5" x14ac:dyDescent="0.55000000000000004">
      <c r="A1467" s="1" t="s">
        <v>191</v>
      </c>
      <c r="B1467" s="1" t="s">
        <v>192</v>
      </c>
      <c r="C1467" s="1" t="str">
        <f>"松阪市嬉野中川町838-8"</f>
        <v>松阪市嬉野中川町838-8</v>
      </c>
      <c r="D1467" s="1" t="str">
        <f>"0598-42-8000  "</f>
        <v xml:space="preserve">0598-42-8000  </v>
      </c>
      <c r="E1467" s="1" t="s">
        <v>34</v>
      </c>
    </row>
    <row r="1468" spans="1:5" x14ac:dyDescent="0.55000000000000004">
      <c r="A1468" s="1" t="s">
        <v>2858</v>
      </c>
      <c r="B1468" s="1" t="s">
        <v>1682</v>
      </c>
      <c r="C1468" s="1" t="s">
        <v>3070</v>
      </c>
      <c r="D1468" s="1" t="str">
        <f>"0598-51-5311  "</f>
        <v xml:space="preserve">0598-51-5311  </v>
      </c>
      <c r="E1468" s="1" t="s">
        <v>2859</v>
      </c>
    </row>
    <row r="1469" spans="1:5" x14ac:dyDescent="0.55000000000000004">
      <c r="A1469" s="1" t="s">
        <v>2628</v>
      </c>
      <c r="B1469" s="1" t="s">
        <v>2629</v>
      </c>
      <c r="C1469" s="1" t="str">
        <f>"松阪市本町2195-1"</f>
        <v>松阪市本町2195-1</v>
      </c>
      <c r="D1469" s="1" t="str">
        <f>"0598-21-1763  "</f>
        <v xml:space="preserve">0598-21-1763  </v>
      </c>
      <c r="E1469" s="1" t="s">
        <v>2630</v>
      </c>
    </row>
    <row r="1470" spans="1:5" x14ac:dyDescent="0.55000000000000004">
      <c r="A1470" s="1" t="s">
        <v>2105</v>
      </c>
      <c r="B1470" s="1" t="s">
        <v>2106</v>
      </c>
      <c r="C1470" s="1" t="str">
        <f>"松阪市大黒田町469-1"</f>
        <v>松阪市大黒田町469-1</v>
      </c>
      <c r="D1470" s="1" t="str">
        <f>"0598-23-8801  "</f>
        <v xml:space="preserve">0598-23-8801  </v>
      </c>
      <c r="E1470" s="1" t="s">
        <v>22</v>
      </c>
    </row>
    <row r="1471" spans="1:5" x14ac:dyDescent="0.55000000000000004">
      <c r="A1471" s="1" t="s">
        <v>2863</v>
      </c>
      <c r="B1471" s="1" t="s">
        <v>2864</v>
      </c>
      <c r="C1471" s="1" t="s">
        <v>2865</v>
      </c>
      <c r="D1471" s="1" t="str">
        <f>"0598-42-1515  "</f>
        <v xml:space="preserve">0598-42-1515  </v>
      </c>
      <c r="E1471" s="1" t="s">
        <v>233</v>
      </c>
    </row>
    <row r="1472" spans="1:5" x14ac:dyDescent="0.55000000000000004">
      <c r="A1472" s="1" t="s">
        <v>150</v>
      </c>
      <c r="B1472" s="1" t="s">
        <v>151</v>
      </c>
      <c r="C1472" s="1" t="s">
        <v>152</v>
      </c>
      <c r="D1472" s="1" t="str">
        <f>"0598-21-4005  "</f>
        <v xml:space="preserve">0598-21-4005  </v>
      </c>
      <c r="E1472" s="1" t="s">
        <v>153</v>
      </c>
    </row>
    <row r="1473" spans="1:5" x14ac:dyDescent="0.55000000000000004">
      <c r="A1473" s="1" t="s">
        <v>899</v>
      </c>
      <c r="B1473" s="1" t="s">
        <v>900</v>
      </c>
      <c r="C1473" s="1" t="str">
        <f>"多気郡多気町相可1513-2"</f>
        <v>多気郡多気町相可1513-2</v>
      </c>
      <c r="D1473" s="1" t="str">
        <f>"0598-38-8080  "</f>
        <v xml:space="preserve">0598-38-8080  </v>
      </c>
      <c r="E1473" s="1" t="s">
        <v>34</v>
      </c>
    </row>
    <row r="1474" spans="1:5" x14ac:dyDescent="0.55000000000000004">
      <c r="A1474" s="1" t="s">
        <v>896</v>
      </c>
      <c r="B1474" s="1" t="s">
        <v>897</v>
      </c>
      <c r="C1474" s="1" t="str">
        <f>"多気郡明和町金剛坂822-15"</f>
        <v>多気郡明和町金剛坂822-15</v>
      </c>
      <c r="D1474" s="1" t="str">
        <f>"0596-53-0088  "</f>
        <v xml:space="preserve">0596-53-0088  </v>
      </c>
      <c r="E1474" s="1" t="s">
        <v>34</v>
      </c>
    </row>
    <row r="1475" spans="1:5" x14ac:dyDescent="0.55000000000000004">
      <c r="A1475" s="1" t="s">
        <v>2393</v>
      </c>
      <c r="B1475" s="1" t="s">
        <v>2394</v>
      </c>
      <c r="C1475" s="1" t="str">
        <f>"多気郡明和町大淀2227-1"</f>
        <v>多気郡明和町大淀2227-1</v>
      </c>
      <c r="D1475" s="1" t="str">
        <f>"0596-55-8188  "</f>
        <v xml:space="preserve">0596-55-8188  </v>
      </c>
      <c r="E1475" s="1" t="s">
        <v>81</v>
      </c>
    </row>
    <row r="1476" spans="1:5" x14ac:dyDescent="0.55000000000000004">
      <c r="A1476" s="1" t="s">
        <v>1281</v>
      </c>
      <c r="B1476" s="1" t="s">
        <v>1282</v>
      </c>
      <c r="C1476" s="1" t="str">
        <f>"多気郡明和町前野415-8"</f>
        <v>多気郡明和町前野415-8</v>
      </c>
      <c r="D1476" s="1" t="str">
        <f>"0596-55-2207  "</f>
        <v xml:space="preserve">0596-55-2207  </v>
      </c>
      <c r="E1476" s="1" t="s">
        <v>1283</v>
      </c>
    </row>
    <row r="1477" spans="1:5" x14ac:dyDescent="0.55000000000000004">
      <c r="A1477" s="1" t="s">
        <v>2559</v>
      </c>
      <c r="B1477" s="1" t="s">
        <v>2560</v>
      </c>
      <c r="C1477" s="1" t="str">
        <f>"多気郡明和町金剛坂816-66"</f>
        <v>多気郡明和町金剛坂816-66</v>
      </c>
      <c r="D1477" s="1" t="str">
        <f>"0596-53-1100  "</f>
        <v xml:space="preserve">0596-53-1100  </v>
      </c>
      <c r="E1477" s="1" t="s">
        <v>6</v>
      </c>
    </row>
    <row r="1478" spans="1:5" x14ac:dyDescent="0.55000000000000004">
      <c r="A1478" s="1" t="s">
        <v>288</v>
      </c>
      <c r="B1478" s="1" t="s">
        <v>289</v>
      </c>
      <c r="C1478" s="1" t="str">
        <f>"多気郡明和町大字大淀2227-1"</f>
        <v>多気郡明和町大字大淀2227-1</v>
      </c>
      <c r="D1478" s="1" t="str">
        <f>"0596-55-8188  "</f>
        <v xml:space="preserve">0596-55-8188  </v>
      </c>
      <c r="E1478" s="1" t="s">
        <v>81</v>
      </c>
    </row>
    <row r="1479" spans="1:5" x14ac:dyDescent="0.55000000000000004">
      <c r="A1479" s="1" t="s">
        <v>290</v>
      </c>
      <c r="B1479" s="1" t="s">
        <v>289</v>
      </c>
      <c r="C1479" s="1" t="str">
        <f>"多気郡明和町大字大淀2227-1"</f>
        <v>多気郡明和町大字大淀2227-1</v>
      </c>
      <c r="D1479" s="1" t="str">
        <f>"0596-55-8188  "</f>
        <v xml:space="preserve">0596-55-8188  </v>
      </c>
      <c r="E1479" s="1" t="s">
        <v>81</v>
      </c>
    </row>
    <row r="1480" spans="1:5" x14ac:dyDescent="0.55000000000000004">
      <c r="A1480" s="1" t="s">
        <v>2002</v>
      </c>
      <c r="B1480" s="1" t="s">
        <v>289</v>
      </c>
      <c r="C1480" s="1" t="str">
        <f>"多気郡明和町大字大淀2227-1"</f>
        <v>多気郡明和町大字大淀2227-1</v>
      </c>
      <c r="D1480" s="1" t="str">
        <f>"0596-55-8188  "</f>
        <v xml:space="preserve">0596-55-8188  </v>
      </c>
      <c r="E1480" s="1" t="s">
        <v>725</v>
      </c>
    </row>
    <row r="1481" spans="1:5" x14ac:dyDescent="0.55000000000000004">
      <c r="A1481" s="1" t="s">
        <v>2757</v>
      </c>
      <c r="B1481" s="1" t="s">
        <v>289</v>
      </c>
      <c r="C1481" s="1" t="str">
        <f>"多気郡明和町大字大淀2227-1"</f>
        <v>多気郡明和町大字大淀2227-1</v>
      </c>
      <c r="D1481" s="1" t="str">
        <f>"0596-55-8188  "</f>
        <v xml:space="preserve">0596-55-8188  </v>
      </c>
      <c r="E1481" s="1" t="s">
        <v>81</v>
      </c>
    </row>
    <row r="1482" spans="1:5" x14ac:dyDescent="0.55000000000000004">
      <c r="A1482" s="1" t="s">
        <v>1339</v>
      </c>
      <c r="B1482" s="1" t="s">
        <v>289</v>
      </c>
      <c r="C1482" s="1" t="str">
        <f>"多気郡明和町大字大淀2227-1"</f>
        <v>多気郡明和町大字大淀2227-1</v>
      </c>
      <c r="D1482" s="1" t="str">
        <f>"0596-55-8188  "</f>
        <v xml:space="preserve">0596-55-8188  </v>
      </c>
      <c r="E1482" s="1" t="s">
        <v>81</v>
      </c>
    </row>
    <row r="1483" spans="1:5" x14ac:dyDescent="0.55000000000000004">
      <c r="A1483" s="1" t="s">
        <v>2922</v>
      </c>
      <c r="B1483" s="1" t="s">
        <v>141</v>
      </c>
      <c r="C1483" s="1" t="s">
        <v>837</v>
      </c>
      <c r="D1483" s="1" t="str">
        <f t="shared" ref="D1483:D1493" si="55">"0596-52-0131  "</f>
        <v xml:space="preserve">0596-52-0131  </v>
      </c>
      <c r="E1483" s="1" t="s">
        <v>135</v>
      </c>
    </row>
    <row r="1484" spans="1:5" x14ac:dyDescent="0.55000000000000004">
      <c r="A1484" s="1" t="s">
        <v>1041</v>
      </c>
      <c r="B1484" s="1" t="s">
        <v>141</v>
      </c>
      <c r="C1484" s="1" t="s">
        <v>837</v>
      </c>
      <c r="D1484" s="1" t="str">
        <f t="shared" si="55"/>
        <v xml:space="preserve">0596-52-0131  </v>
      </c>
      <c r="E1484" s="1" t="s">
        <v>131</v>
      </c>
    </row>
    <row r="1485" spans="1:5" x14ac:dyDescent="0.55000000000000004">
      <c r="A1485" s="1" t="s">
        <v>1106</v>
      </c>
      <c r="B1485" s="1" t="s">
        <v>141</v>
      </c>
      <c r="C1485" s="1" t="s">
        <v>837</v>
      </c>
      <c r="D1485" s="1" t="str">
        <f t="shared" si="55"/>
        <v xml:space="preserve">0596-52-0131  </v>
      </c>
      <c r="E1485" s="1" t="s">
        <v>111</v>
      </c>
    </row>
    <row r="1486" spans="1:5" x14ac:dyDescent="0.55000000000000004">
      <c r="A1486" s="1" t="s">
        <v>1249</v>
      </c>
      <c r="B1486" s="1" t="s">
        <v>141</v>
      </c>
      <c r="C1486" s="1" t="s">
        <v>837</v>
      </c>
      <c r="D1486" s="1" t="str">
        <f t="shared" si="55"/>
        <v xml:space="preserve">0596-52-0131  </v>
      </c>
      <c r="E1486" s="1" t="s">
        <v>131</v>
      </c>
    </row>
    <row r="1487" spans="1:5" x14ac:dyDescent="0.55000000000000004">
      <c r="A1487" s="1" t="s">
        <v>1414</v>
      </c>
      <c r="B1487" s="1" t="s">
        <v>141</v>
      </c>
      <c r="C1487" s="1" t="s">
        <v>837</v>
      </c>
      <c r="D1487" s="1" t="str">
        <f t="shared" si="55"/>
        <v xml:space="preserve">0596-52-0131  </v>
      </c>
      <c r="E1487" s="1" t="s">
        <v>135</v>
      </c>
    </row>
    <row r="1488" spans="1:5" x14ac:dyDescent="0.55000000000000004">
      <c r="A1488" s="1" t="s">
        <v>1524</v>
      </c>
      <c r="B1488" s="1" t="s">
        <v>141</v>
      </c>
      <c r="C1488" s="1" t="s">
        <v>837</v>
      </c>
      <c r="D1488" s="1" t="str">
        <f t="shared" si="55"/>
        <v xml:space="preserve">0596-52-0131  </v>
      </c>
      <c r="E1488" s="1" t="s">
        <v>6</v>
      </c>
    </row>
    <row r="1489" spans="1:5" x14ac:dyDescent="0.55000000000000004">
      <c r="A1489" s="1" t="s">
        <v>1534</v>
      </c>
      <c r="B1489" s="1" t="s">
        <v>141</v>
      </c>
      <c r="C1489" s="1" t="s">
        <v>837</v>
      </c>
      <c r="D1489" s="1" t="str">
        <f t="shared" si="55"/>
        <v xml:space="preserve">0596-52-0131  </v>
      </c>
      <c r="E1489" s="1" t="s">
        <v>111</v>
      </c>
    </row>
    <row r="1490" spans="1:5" x14ac:dyDescent="0.55000000000000004">
      <c r="A1490" s="1" t="s">
        <v>1660</v>
      </c>
      <c r="B1490" s="1" t="s">
        <v>141</v>
      </c>
      <c r="C1490" s="1" t="s">
        <v>837</v>
      </c>
      <c r="D1490" s="1" t="str">
        <f t="shared" si="55"/>
        <v xml:space="preserve">0596-52-0131  </v>
      </c>
      <c r="E1490" s="1" t="s">
        <v>131</v>
      </c>
    </row>
    <row r="1491" spans="1:5" x14ac:dyDescent="0.55000000000000004">
      <c r="A1491" s="1" t="s">
        <v>1661</v>
      </c>
      <c r="B1491" s="1" t="s">
        <v>141</v>
      </c>
      <c r="C1491" s="1" t="s">
        <v>837</v>
      </c>
      <c r="D1491" s="1" t="str">
        <f t="shared" si="55"/>
        <v xml:space="preserve">0596-52-0131  </v>
      </c>
      <c r="E1491" s="1" t="s">
        <v>111</v>
      </c>
    </row>
    <row r="1492" spans="1:5" x14ac:dyDescent="0.55000000000000004">
      <c r="A1492" s="1" t="s">
        <v>1662</v>
      </c>
      <c r="B1492" s="1" t="s">
        <v>141</v>
      </c>
      <c r="C1492" s="1" t="s">
        <v>837</v>
      </c>
      <c r="D1492" s="1" t="str">
        <f t="shared" si="55"/>
        <v xml:space="preserve">0596-52-0131  </v>
      </c>
      <c r="E1492" s="1" t="s">
        <v>6</v>
      </c>
    </row>
    <row r="1493" spans="1:5" x14ac:dyDescent="0.55000000000000004">
      <c r="A1493" s="1" t="s">
        <v>1710</v>
      </c>
      <c r="B1493" s="1" t="s">
        <v>141</v>
      </c>
      <c r="C1493" s="1" t="s">
        <v>837</v>
      </c>
      <c r="D1493" s="1" t="str">
        <f t="shared" si="55"/>
        <v xml:space="preserve">0596-52-0131  </v>
      </c>
      <c r="E1493" s="1" t="s">
        <v>59</v>
      </c>
    </row>
    <row r="1494" spans="1:5" x14ac:dyDescent="0.55000000000000004">
      <c r="A1494" s="1" t="s">
        <v>311</v>
      </c>
      <c r="B1494" s="1" t="s">
        <v>312</v>
      </c>
      <c r="C1494" s="1" t="str">
        <f>"多気郡明和町金剛坂812-39"</f>
        <v>多気郡明和町金剛坂812-39</v>
      </c>
      <c r="D1494" s="1" t="str">
        <f>"0596-53-1112  "</f>
        <v xml:space="preserve">0596-53-1112  </v>
      </c>
      <c r="E1494" s="1" t="s">
        <v>10</v>
      </c>
    </row>
    <row r="1495" spans="1:5" x14ac:dyDescent="0.55000000000000004">
      <c r="A1495" s="1" t="s">
        <v>297</v>
      </c>
      <c r="B1495" s="1" t="s">
        <v>298</v>
      </c>
      <c r="C1495" s="1" t="str">
        <f>"多気郡大台町栃原1098-4"</f>
        <v>多気郡大台町栃原1098-4</v>
      </c>
      <c r="D1495" s="1" t="str">
        <f>"0598-84-6868  "</f>
        <v xml:space="preserve">0598-84-6868  </v>
      </c>
      <c r="E1495" s="1" t="s">
        <v>299</v>
      </c>
    </row>
    <row r="1496" spans="1:5" x14ac:dyDescent="0.55000000000000004">
      <c r="A1496" s="1" t="s">
        <v>2772</v>
      </c>
      <c r="B1496" s="1" t="s">
        <v>2773</v>
      </c>
      <c r="C1496" s="1" t="str">
        <f>"多気郡大台町新田472-4"</f>
        <v>多気郡大台町新田472-4</v>
      </c>
      <c r="D1496" s="1" t="str">
        <f>"0598-85-0106  "</f>
        <v xml:space="preserve">0598-85-0106  </v>
      </c>
      <c r="E1496" s="1" t="s">
        <v>29</v>
      </c>
    </row>
    <row r="1497" spans="1:5" x14ac:dyDescent="0.55000000000000004">
      <c r="A1497" s="1" t="s">
        <v>2842</v>
      </c>
      <c r="B1497" s="1" t="s">
        <v>114</v>
      </c>
      <c r="C1497" s="1" t="str">
        <f t="shared" ref="C1497:C1503" si="56">"多気郡大台町上三瀬663-2"</f>
        <v>多気郡大台町上三瀬663-2</v>
      </c>
      <c r="D1497" s="1" t="str">
        <f t="shared" ref="D1497:D1503" si="57">"0598-82-1313  "</f>
        <v xml:space="preserve">0598-82-1313  </v>
      </c>
      <c r="E1497" s="1" t="s">
        <v>69</v>
      </c>
    </row>
    <row r="1498" spans="1:5" x14ac:dyDescent="0.55000000000000004">
      <c r="A1498" s="1" t="s">
        <v>2036</v>
      </c>
      <c r="B1498" s="1" t="s">
        <v>114</v>
      </c>
      <c r="C1498" s="1" t="str">
        <f t="shared" si="56"/>
        <v>多気郡大台町上三瀬663-2</v>
      </c>
      <c r="D1498" s="1" t="str">
        <f t="shared" si="57"/>
        <v xml:space="preserve">0598-82-1313  </v>
      </c>
      <c r="E1498" s="1" t="s">
        <v>14</v>
      </c>
    </row>
    <row r="1499" spans="1:5" x14ac:dyDescent="0.55000000000000004">
      <c r="A1499" s="1" t="s">
        <v>898</v>
      </c>
      <c r="B1499" s="1" t="s">
        <v>114</v>
      </c>
      <c r="C1499" s="1" t="str">
        <f t="shared" si="56"/>
        <v>多気郡大台町上三瀬663-2</v>
      </c>
      <c r="D1499" s="1" t="str">
        <f t="shared" si="57"/>
        <v xml:space="preserve">0598-82-1313  </v>
      </c>
      <c r="E1499" s="1" t="s">
        <v>6</v>
      </c>
    </row>
    <row r="1500" spans="1:5" x14ac:dyDescent="0.55000000000000004">
      <c r="A1500" s="1" t="s">
        <v>1000</v>
      </c>
      <c r="B1500" s="1" t="s">
        <v>114</v>
      </c>
      <c r="C1500" s="1" t="str">
        <f t="shared" si="56"/>
        <v>多気郡大台町上三瀬663-2</v>
      </c>
      <c r="D1500" s="1" t="str">
        <f t="shared" si="57"/>
        <v xml:space="preserve">0598-82-1313  </v>
      </c>
      <c r="E1500" s="1" t="s">
        <v>111</v>
      </c>
    </row>
    <row r="1501" spans="1:5" x14ac:dyDescent="0.55000000000000004">
      <c r="A1501" s="1" t="s">
        <v>1001</v>
      </c>
      <c r="B1501" s="1" t="s">
        <v>114</v>
      </c>
      <c r="C1501" s="1" t="str">
        <f t="shared" si="56"/>
        <v>多気郡大台町上三瀬663-2</v>
      </c>
      <c r="D1501" s="1" t="str">
        <f t="shared" si="57"/>
        <v xml:space="preserve">0598-82-1313  </v>
      </c>
      <c r="E1501" s="1" t="s">
        <v>6</v>
      </c>
    </row>
    <row r="1502" spans="1:5" x14ac:dyDescent="0.55000000000000004">
      <c r="A1502" s="1" t="s">
        <v>1003</v>
      </c>
      <c r="B1502" s="1" t="s">
        <v>114</v>
      </c>
      <c r="C1502" s="1" t="str">
        <f t="shared" si="56"/>
        <v>多気郡大台町上三瀬663-2</v>
      </c>
      <c r="D1502" s="1" t="str">
        <f t="shared" si="57"/>
        <v xml:space="preserve">0598-82-1313  </v>
      </c>
      <c r="E1502" s="1" t="s">
        <v>14</v>
      </c>
    </row>
    <row r="1503" spans="1:5" x14ac:dyDescent="0.55000000000000004">
      <c r="A1503" s="1" t="s">
        <v>2893</v>
      </c>
      <c r="B1503" s="1" t="s">
        <v>114</v>
      </c>
      <c r="C1503" s="1" t="str">
        <f t="shared" si="56"/>
        <v>多気郡大台町上三瀬663-2</v>
      </c>
      <c r="D1503" s="1" t="str">
        <f t="shared" si="57"/>
        <v xml:space="preserve">0598-82-1313  </v>
      </c>
      <c r="E1503" s="1" t="s">
        <v>34</v>
      </c>
    </row>
    <row r="1504" spans="1:5" x14ac:dyDescent="0.55000000000000004">
      <c r="A1504" s="1" t="s">
        <v>1244</v>
      </c>
      <c r="B1504" s="1" t="s">
        <v>1245</v>
      </c>
      <c r="C1504" s="1" t="s">
        <v>1246</v>
      </c>
      <c r="D1504" s="1" t="str">
        <f>"0598-76-8110  "</f>
        <v xml:space="preserve">0598-76-8110  </v>
      </c>
      <c r="E1504" s="1" t="s">
        <v>131</v>
      </c>
    </row>
    <row r="1505" spans="1:5" x14ac:dyDescent="0.55000000000000004">
      <c r="A1505" s="1" t="s">
        <v>2213</v>
      </c>
      <c r="B1505" s="1" t="s">
        <v>2214</v>
      </c>
      <c r="C1505" s="1" t="s">
        <v>2215</v>
      </c>
      <c r="D1505" s="1" t="str">
        <f>"0596-21-1112  "</f>
        <v xml:space="preserve">0596-21-1112  </v>
      </c>
      <c r="E1505" s="1" t="s">
        <v>2216</v>
      </c>
    </row>
    <row r="1506" spans="1:5" x14ac:dyDescent="0.55000000000000004">
      <c r="A1506" s="1" t="s">
        <v>1241</v>
      </c>
      <c r="B1506" s="1" t="s">
        <v>1242</v>
      </c>
      <c r="C1506" s="1" t="s">
        <v>1243</v>
      </c>
      <c r="D1506" s="1" t="str">
        <f>"0596-72-8858  "</f>
        <v xml:space="preserve">0596-72-8858  </v>
      </c>
      <c r="E1506" s="1" t="s">
        <v>131</v>
      </c>
    </row>
    <row r="1507" spans="1:5" x14ac:dyDescent="0.55000000000000004">
      <c r="A1507" s="1" t="s">
        <v>949</v>
      </c>
      <c r="B1507" s="1" t="s">
        <v>950</v>
      </c>
      <c r="C1507" s="1" t="s">
        <v>951</v>
      </c>
      <c r="D1507" s="1" t="str">
        <f>"0596-20-8104  "</f>
        <v xml:space="preserve">0596-20-8104  </v>
      </c>
      <c r="E1507" s="1" t="s">
        <v>6</v>
      </c>
    </row>
    <row r="1508" spans="1:5" x14ac:dyDescent="0.55000000000000004">
      <c r="A1508" s="1" t="s">
        <v>2652</v>
      </c>
      <c r="B1508" s="1" t="s">
        <v>950</v>
      </c>
      <c r="C1508" s="1" t="s">
        <v>951</v>
      </c>
      <c r="D1508" s="1" t="str">
        <f>"0596-20-8104  "</f>
        <v xml:space="preserve">0596-20-8104  </v>
      </c>
      <c r="E1508" s="1" t="s">
        <v>6</v>
      </c>
    </row>
    <row r="1509" spans="1:5" x14ac:dyDescent="0.55000000000000004">
      <c r="A1509" s="1" t="s">
        <v>2448</v>
      </c>
      <c r="B1509" s="1" t="s">
        <v>2449</v>
      </c>
      <c r="C1509" s="1" t="str">
        <f>"伊勢市一之木5丁目962-1"</f>
        <v>伊勢市一之木5丁目962-1</v>
      </c>
      <c r="D1509" s="1" t="str">
        <f>"0596-63-6531  "</f>
        <v xml:space="preserve">0596-63-6531  </v>
      </c>
      <c r="E1509" s="1" t="s">
        <v>123</v>
      </c>
    </row>
    <row r="1510" spans="1:5" x14ac:dyDescent="0.55000000000000004">
      <c r="A1510" s="1" t="s">
        <v>422</v>
      </c>
      <c r="B1510" s="1" t="s">
        <v>423</v>
      </c>
      <c r="C1510" s="1" t="str">
        <f>"伊勢市一志町6-7"</f>
        <v>伊勢市一志町6-7</v>
      </c>
      <c r="D1510" s="1" t="str">
        <f>"0596-28-3357  "</f>
        <v xml:space="preserve">0596-28-3357  </v>
      </c>
      <c r="E1510" s="1" t="s">
        <v>424</v>
      </c>
    </row>
    <row r="1511" spans="1:5" x14ac:dyDescent="0.55000000000000004">
      <c r="A1511" s="1" t="s">
        <v>1806</v>
      </c>
      <c r="B1511" s="1" t="s">
        <v>1776</v>
      </c>
      <c r="C1511" s="1" t="str">
        <f>"伊勢市岩渕１丁目１３－３"</f>
        <v>伊勢市岩渕１丁目１３－３</v>
      </c>
      <c r="D1511" s="1" t="str">
        <f>"0596-22-1105  "</f>
        <v xml:space="preserve">0596-22-1105  </v>
      </c>
      <c r="E1511" s="1" t="s">
        <v>6</v>
      </c>
    </row>
    <row r="1512" spans="1:5" x14ac:dyDescent="0.55000000000000004">
      <c r="A1512" s="1" t="s">
        <v>1775</v>
      </c>
      <c r="B1512" s="1" t="s">
        <v>1776</v>
      </c>
      <c r="C1512" s="1" t="str">
        <f>"伊勢市岩渕1丁目13-3"</f>
        <v>伊勢市岩渕1丁目13-3</v>
      </c>
      <c r="D1512" s="1" t="str">
        <f>"0596-22-1105  "</f>
        <v xml:space="preserve">0596-22-1105  </v>
      </c>
      <c r="E1512" s="1" t="s">
        <v>6</v>
      </c>
    </row>
    <row r="1513" spans="1:5" x14ac:dyDescent="0.55000000000000004">
      <c r="A1513" s="1" t="s">
        <v>1195</v>
      </c>
      <c r="B1513" s="1" t="s">
        <v>1196</v>
      </c>
      <c r="C1513" s="1" t="str">
        <f>"伊勢市神久2丁目1-15"</f>
        <v>伊勢市神久2丁目1-15</v>
      </c>
      <c r="D1513" s="1" t="str">
        <f>"0596-21-1717  "</f>
        <v xml:space="preserve">0596-21-1717  </v>
      </c>
      <c r="E1513" s="1" t="s">
        <v>106</v>
      </c>
    </row>
    <row r="1514" spans="1:5" x14ac:dyDescent="0.55000000000000004">
      <c r="A1514" s="1" t="s">
        <v>1755</v>
      </c>
      <c r="B1514" s="1" t="s">
        <v>1756</v>
      </c>
      <c r="C1514" s="1" t="str">
        <f>"伊勢市御薗町高向686-27"</f>
        <v>伊勢市御薗町高向686-27</v>
      </c>
      <c r="D1514" s="1" t="str">
        <f>"0596-20-0155  "</f>
        <v xml:space="preserve">0596-20-0155  </v>
      </c>
      <c r="E1514" s="1" t="s">
        <v>33</v>
      </c>
    </row>
    <row r="1515" spans="1:5" x14ac:dyDescent="0.55000000000000004">
      <c r="A1515" s="1" t="s">
        <v>237</v>
      </c>
      <c r="B1515" s="1" t="s">
        <v>238</v>
      </c>
      <c r="C1515" s="1" t="str">
        <f>"伊勢市一之木4-5-36"</f>
        <v>伊勢市一之木4-5-36</v>
      </c>
      <c r="D1515" s="1" t="str">
        <f>"0596-63-5111  "</f>
        <v xml:space="preserve">0596-63-5111  </v>
      </c>
      <c r="E1515" s="1" t="s">
        <v>239</v>
      </c>
    </row>
    <row r="1516" spans="1:5" x14ac:dyDescent="0.55000000000000004">
      <c r="A1516" s="1" t="s">
        <v>583</v>
      </c>
      <c r="B1516" s="1" t="s">
        <v>238</v>
      </c>
      <c r="C1516" s="1" t="str">
        <f>"伊勢市一之木4-5-36"</f>
        <v>伊勢市一之木4-5-36</v>
      </c>
      <c r="D1516" s="1" t="str">
        <f>"0596-63-5111  "</f>
        <v xml:space="preserve">0596-63-5111  </v>
      </c>
      <c r="E1516" s="1" t="s">
        <v>239</v>
      </c>
    </row>
    <row r="1517" spans="1:5" x14ac:dyDescent="0.55000000000000004">
      <c r="A1517" s="1" t="s">
        <v>2056</v>
      </c>
      <c r="B1517" s="1" t="s">
        <v>2057</v>
      </c>
      <c r="C1517" s="1" t="s">
        <v>2058</v>
      </c>
      <c r="D1517" s="1" t="str">
        <f>"0596-22-4545  "</f>
        <v xml:space="preserve">0596-22-4545  </v>
      </c>
      <c r="E1517" s="1" t="s">
        <v>135</v>
      </c>
    </row>
    <row r="1518" spans="1:5" x14ac:dyDescent="0.55000000000000004">
      <c r="A1518" s="1" t="s">
        <v>1871</v>
      </c>
      <c r="B1518" s="1" t="s">
        <v>1872</v>
      </c>
      <c r="C1518" s="1" t="str">
        <f>"伊勢市小木町512-1"</f>
        <v>伊勢市小木町512-1</v>
      </c>
      <c r="D1518" s="1" t="str">
        <f>"0596-31-1511  "</f>
        <v xml:space="preserve">0596-31-1511  </v>
      </c>
      <c r="E1518" s="1" t="s">
        <v>1873</v>
      </c>
    </row>
    <row r="1519" spans="1:5" x14ac:dyDescent="0.55000000000000004">
      <c r="A1519" s="1" t="s">
        <v>1100</v>
      </c>
      <c r="B1519" s="1" t="s">
        <v>1101</v>
      </c>
      <c r="C1519" s="1" t="s">
        <v>1102</v>
      </c>
      <c r="D1519" s="1" t="str">
        <f>"0596-27-1717  "</f>
        <v xml:space="preserve">0596-27-1717  </v>
      </c>
      <c r="E1519" s="1" t="s">
        <v>14</v>
      </c>
    </row>
    <row r="1520" spans="1:5" x14ac:dyDescent="0.55000000000000004">
      <c r="A1520" s="1" t="s">
        <v>345</v>
      </c>
      <c r="B1520" s="1" t="s">
        <v>346</v>
      </c>
      <c r="C1520" s="1" t="str">
        <f>"伊勢市小俣町元町200-6"</f>
        <v>伊勢市小俣町元町200-6</v>
      </c>
      <c r="D1520" s="1" t="str">
        <f>"0596-23-2960  "</f>
        <v xml:space="preserve">0596-23-2960  </v>
      </c>
      <c r="E1520" s="1" t="s">
        <v>34</v>
      </c>
    </row>
    <row r="1521" spans="1:5" x14ac:dyDescent="0.55000000000000004">
      <c r="A1521" s="1" t="s">
        <v>701</v>
      </c>
      <c r="B1521" s="1" t="s">
        <v>702</v>
      </c>
      <c r="C1521" s="1" t="str">
        <f>"伊勢市中島2丁目1-10　39ビル1F"</f>
        <v>伊勢市中島2丁目1-10　39ビル1F</v>
      </c>
      <c r="D1521" s="1" t="str">
        <f>"0596-22-8166  "</f>
        <v xml:space="preserve">0596-22-8166  </v>
      </c>
      <c r="E1521" s="1" t="s">
        <v>34</v>
      </c>
    </row>
    <row r="1522" spans="1:5" x14ac:dyDescent="0.55000000000000004">
      <c r="A1522" s="1" t="s">
        <v>407</v>
      </c>
      <c r="B1522" s="1" t="s">
        <v>408</v>
      </c>
      <c r="C1522" s="1" t="s">
        <v>409</v>
      </c>
      <c r="D1522" s="1" t="str">
        <f>"0596-44-1711  "</f>
        <v xml:space="preserve">0596-44-1711  </v>
      </c>
      <c r="E1522" s="1" t="s">
        <v>410</v>
      </c>
    </row>
    <row r="1523" spans="1:5" x14ac:dyDescent="0.55000000000000004">
      <c r="A1523" s="1" t="s">
        <v>1185</v>
      </c>
      <c r="B1523" s="1" t="s">
        <v>1186</v>
      </c>
      <c r="C1523" s="1" t="str">
        <f>"伊勢市常盤２丁目9-21"</f>
        <v>伊勢市常盤２丁目9-21</v>
      </c>
      <c r="D1523" s="1" t="str">
        <f>"0596-24-7156  "</f>
        <v xml:space="preserve">0596-24-7156  </v>
      </c>
      <c r="E1523" s="1" t="s">
        <v>1187</v>
      </c>
    </row>
    <row r="1524" spans="1:5" x14ac:dyDescent="0.55000000000000004">
      <c r="A1524" s="1" t="s">
        <v>2451</v>
      </c>
      <c r="B1524" s="1" t="s">
        <v>2452</v>
      </c>
      <c r="C1524" s="1" t="s">
        <v>2453</v>
      </c>
      <c r="D1524" s="1" t="str">
        <f>"0596-63-8165  "</f>
        <v xml:space="preserve">0596-63-8165  </v>
      </c>
      <c r="E1524" s="1" t="s">
        <v>2454</v>
      </c>
    </row>
    <row r="1525" spans="1:5" x14ac:dyDescent="0.55000000000000004">
      <c r="A1525" s="1" t="s">
        <v>228</v>
      </c>
      <c r="B1525" s="1" t="s">
        <v>229</v>
      </c>
      <c r="C1525" s="1" t="str">
        <f>"伊勢市船江3-3-9"</f>
        <v>伊勢市船江3-3-9</v>
      </c>
      <c r="D1525" s="1" t="str">
        <f>"0596-27-3000  "</f>
        <v xml:space="preserve">0596-27-3000  </v>
      </c>
      <c r="E1525" s="1" t="s">
        <v>6</v>
      </c>
    </row>
    <row r="1526" spans="1:5" x14ac:dyDescent="0.55000000000000004">
      <c r="A1526" s="1" t="s">
        <v>507</v>
      </c>
      <c r="B1526" s="1" t="s">
        <v>508</v>
      </c>
      <c r="C1526" s="1" t="str">
        <f>"伊勢市上地町4210-3"</f>
        <v>伊勢市上地町4210-3</v>
      </c>
      <c r="D1526" s="1" t="str">
        <f>"0596-20-9888  "</f>
        <v xml:space="preserve">0596-20-9888  </v>
      </c>
      <c r="E1526" s="1" t="s">
        <v>509</v>
      </c>
    </row>
    <row r="1527" spans="1:5" x14ac:dyDescent="0.55000000000000004">
      <c r="A1527" s="1" t="s">
        <v>1188</v>
      </c>
      <c r="B1527" s="1" t="s">
        <v>1189</v>
      </c>
      <c r="C1527" s="1" t="s">
        <v>1190</v>
      </c>
      <c r="D1527" s="1" t="str">
        <f>"0596-23-1258  "</f>
        <v xml:space="preserve">0596-23-1258  </v>
      </c>
      <c r="E1527" s="1" t="s">
        <v>1191</v>
      </c>
    </row>
    <row r="1528" spans="1:5" x14ac:dyDescent="0.55000000000000004">
      <c r="A1528" s="1" t="s">
        <v>1197</v>
      </c>
      <c r="B1528" s="1" t="s">
        <v>1198</v>
      </c>
      <c r="C1528" s="1" t="s">
        <v>1199</v>
      </c>
      <c r="D1528" s="1" t="str">
        <f>"0596-23-2525  "</f>
        <v xml:space="preserve">0596-23-2525  </v>
      </c>
      <c r="E1528" s="1" t="s">
        <v>135</v>
      </c>
    </row>
    <row r="1529" spans="1:5" x14ac:dyDescent="0.55000000000000004">
      <c r="A1529" s="1" t="s">
        <v>1064</v>
      </c>
      <c r="B1529" s="1" t="s">
        <v>1065</v>
      </c>
      <c r="C1529" s="1" t="str">
        <f>"伊勢市一之木4丁目2-44"</f>
        <v>伊勢市一之木4丁目2-44</v>
      </c>
      <c r="D1529" s="1" t="str">
        <f>"0596-21-3216  "</f>
        <v xml:space="preserve">0596-21-3216  </v>
      </c>
      <c r="E1529" s="1" t="s">
        <v>1066</v>
      </c>
    </row>
    <row r="1530" spans="1:5" x14ac:dyDescent="0.55000000000000004">
      <c r="A1530" s="1" t="s">
        <v>1287</v>
      </c>
      <c r="B1530" s="1" t="s">
        <v>1288</v>
      </c>
      <c r="C1530" s="1" t="str">
        <f>"伊勢市宮町1丁目3-24"</f>
        <v>伊勢市宮町1丁目3-24</v>
      </c>
      <c r="D1530" s="1" t="str">
        <f>"0596-72-8820  "</f>
        <v xml:space="preserve">0596-72-8820  </v>
      </c>
      <c r="E1530" s="1" t="s">
        <v>1289</v>
      </c>
    </row>
    <row r="1531" spans="1:5" x14ac:dyDescent="0.55000000000000004">
      <c r="A1531" s="1" t="s">
        <v>359</v>
      </c>
      <c r="B1531" s="1" t="s">
        <v>360</v>
      </c>
      <c r="C1531" s="1" t="s">
        <v>361</v>
      </c>
      <c r="D1531" s="1" t="str">
        <f>"0596-20-1113  "</f>
        <v xml:space="preserve">0596-20-1113  </v>
      </c>
      <c r="E1531" s="1" t="s">
        <v>34</v>
      </c>
    </row>
    <row r="1532" spans="1:5" x14ac:dyDescent="0.55000000000000004">
      <c r="A1532" s="1" t="s">
        <v>257</v>
      </c>
      <c r="B1532" s="1" t="s">
        <v>258</v>
      </c>
      <c r="C1532" s="1" t="str">
        <f>"伊勢市勢田町569-2"</f>
        <v>伊勢市勢田町569-2</v>
      </c>
      <c r="D1532" s="1" t="str">
        <f>"0596-63-5692  "</f>
        <v xml:space="preserve">0596-63-5692  </v>
      </c>
      <c r="E1532" s="1" t="s">
        <v>259</v>
      </c>
    </row>
    <row r="1533" spans="1:5" x14ac:dyDescent="0.55000000000000004">
      <c r="A1533" s="1" t="s">
        <v>2287</v>
      </c>
      <c r="B1533" s="1" t="s">
        <v>116</v>
      </c>
      <c r="C1533" s="1" t="s">
        <v>1034</v>
      </c>
      <c r="D1533" s="1" t="str">
        <f t="shared" ref="D1533:D1564" si="58">"0596-28-2171  "</f>
        <v xml:space="preserve">0596-28-2171  </v>
      </c>
      <c r="E1533" s="1" t="s">
        <v>106</v>
      </c>
    </row>
    <row r="1534" spans="1:5" x14ac:dyDescent="0.55000000000000004">
      <c r="A1534" s="1" t="s">
        <v>2976</v>
      </c>
      <c r="B1534" s="1" t="s">
        <v>116</v>
      </c>
      <c r="C1534" s="1" t="s">
        <v>1034</v>
      </c>
      <c r="D1534" s="1" t="str">
        <f t="shared" si="58"/>
        <v xml:space="preserve">0596-28-2171  </v>
      </c>
      <c r="E1534" s="1" t="s">
        <v>106</v>
      </c>
    </row>
    <row r="1535" spans="1:5" x14ac:dyDescent="0.55000000000000004">
      <c r="A1535" s="1" t="s">
        <v>2330</v>
      </c>
      <c r="B1535" s="1" t="s">
        <v>116</v>
      </c>
      <c r="C1535" s="1" t="s">
        <v>1034</v>
      </c>
      <c r="D1535" s="1" t="str">
        <f t="shared" si="58"/>
        <v xml:space="preserve">0596-28-2171  </v>
      </c>
      <c r="E1535" s="1" t="s">
        <v>1180</v>
      </c>
    </row>
    <row r="1536" spans="1:5" x14ac:dyDescent="0.55000000000000004">
      <c r="A1536" s="1" t="s">
        <v>2043</v>
      </c>
      <c r="B1536" s="1" t="s">
        <v>116</v>
      </c>
      <c r="C1536" s="1" t="s">
        <v>1034</v>
      </c>
      <c r="D1536" s="1" t="str">
        <f t="shared" si="58"/>
        <v xml:space="preserve">0596-28-2171  </v>
      </c>
      <c r="E1536" s="1" t="s">
        <v>123</v>
      </c>
    </row>
    <row r="1537" spans="1:5" x14ac:dyDescent="0.55000000000000004">
      <c r="A1537" s="1" t="s">
        <v>2445</v>
      </c>
      <c r="B1537" s="1" t="s">
        <v>116</v>
      </c>
      <c r="C1537" s="1" t="s">
        <v>1034</v>
      </c>
      <c r="D1537" s="1" t="str">
        <f t="shared" si="58"/>
        <v xml:space="preserve">0596-28-2171  </v>
      </c>
      <c r="E1537" s="1" t="s">
        <v>35</v>
      </c>
    </row>
    <row r="1538" spans="1:5" x14ac:dyDescent="0.55000000000000004">
      <c r="A1538" s="1" t="s">
        <v>2450</v>
      </c>
      <c r="B1538" s="1" t="s">
        <v>116</v>
      </c>
      <c r="C1538" s="1" t="s">
        <v>1034</v>
      </c>
      <c r="D1538" s="1" t="str">
        <f t="shared" si="58"/>
        <v xml:space="preserve">0596-28-2171  </v>
      </c>
      <c r="E1538" s="1" t="s">
        <v>123</v>
      </c>
    </row>
    <row r="1539" spans="1:5" x14ac:dyDescent="0.55000000000000004">
      <c r="A1539" s="1" t="s">
        <v>3015</v>
      </c>
      <c r="B1539" s="1" t="s">
        <v>116</v>
      </c>
      <c r="C1539" s="1" t="s">
        <v>1034</v>
      </c>
      <c r="D1539" s="1" t="str">
        <f t="shared" si="58"/>
        <v xml:space="preserve">0596-28-2171  </v>
      </c>
      <c r="E1539" s="1" t="s">
        <v>3016</v>
      </c>
    </row>
    <row r="1540" spans="1:5" x14ac:dyDescent="0.55000000000000004">
      <c r="A1540" s="1" t="s">
        <v>2469</v>
      </c>
      <c r="B1540" s="1" t="s">
        <v>116</v>
      </c>
      <c r="C1540" s="1" t="s">
        <v>1034</v>
      </c>
      <c r="D1540" s="1" t="str">
        <f t="shared" si="58"/>
        <v xml:space="preserve">0596-28-2171  </v>
      </c>
      <c r="E1540" s="1" t="s">
        <v>81</v>
      </c>
    </row>
    <row r="1541" spans="1:5" x14ac:dyDescent="0.55000000000000004">
      <c r="A1541" s="1" t="s">
        <v>1033</v>
      </c>
      <c r="B1541" s="1" t="s">
        <v>116</v>
      </c>
      <c r="C1541" s="1" t="s">
        <v>1034</v>
      </c>
      <c r="D1541" s="1" t="str">
        <f t="shared" si="58"/>
        <v xml:space="preserve">0596-28-2171  </v>
      </c>
      <c r="E1541" s="1" t="s">
        <v>107</v>
      </c>
    </row>
    <row r="1542" spans="1:5" x14ac:dyDescent="0.55000000000000004">
      <c r="A1542" s="1" t="s">
        <v>1928</v>
      </c>
      <c r="B1542" s="1" t="s">
        <v>116</v>
      </c>
      <c r="C1542" s="1" t="s">
        <v>1034</v>
      </c>
      <c r="D1542" s="1" t="str">
        <f t="shared" si="58"/>
        <v xml:space="preserve">0596-28-2171  </v>
      </c>
      <c r="E1542" s="1" t="s">
        <v>135</v>
      </c>
    </row>
    <row r="1543" spans="1:5" x14ac:dyDescent="0.55000000000000004">
      <c r="A1543" s="1" t="s">
        <v>2159</v>
      </c>
      <c r="B1543" s="1" t="s">
        <v>116</v>
      </c>
      <c r="C1543" s="1" t="s">
        <v>1034</v>
      </c>
      <c r="D1543" s="1" t="str">
        <f t="shared" si="58"/>
        <v xml:space="preserve">0596-28-2171  </v>
      </c>
      <c r="E1543" s="1" t="s">
        <v>23</v>
      </c>
    </row>
    <row r="1544" spans="1:5" x14ac:dyDescent="0.55000000000000004">
      <c r="A1544" s="1" t="s">
        <v>2165</v>
      </c>
      <c r="B1544" s="1" t="s">
        <v>116</v>
      </c>
      <c r="C1544" s="1" t="s">
        <v>1034</v>
      </c>
      <c r="D1544" s="1" t="str">
        <f t="shared" si="58"/>
        <v xml:space="preserve">0596-28-2171  </v>
      </c>
      <c r="E1544" s="1" t="s">
        <v>34</v>
      </c>
    </row>
    <row r="1545" spans="1:5" x14ac:dyDescent="0.55000000000000004">
      <c r="A1545" s="1" t="s">
        <v>1068</v>
      </c>
      <c r="B1545" s="1" t="s">
        <v>116</v>
      </c>
      <c r="C1545" s="1" t="s">
        <v>1034</v>
      </c>
      <c r="D1545" s="1" t="str">
        <f t="shared" si="58"/>
        <v xml:space="preserve">0596-28-2171  </v>
      </c>
      <c r="E1545" s="1" t="s">
        <v>1069</v>
      </c>
    </row>
    <row r="1546" spans="1:5" x14ac:dyDescent="0.55000000000000004">
      <c r="A1546" s="1" t="s">
        <v>1070</v>
      </c>
      <c r="B1546" s="1" t="s">
        <v>116</v>
      </c>
      <c r="C1546" s="1" t="s">
        <v>1034</v>
      </c>
      <c r="D1546" s="1" t="str">
        <f t="shared" si="58"/>
        <v xml:space="preserve">0596-28-2171  </v>
      </c>
      <c r="E1546" s="1" t="s">
        <v>81</v>
      </c>
    </row>
    <row r="1547" spans="1:5" x14ac:dyDescent="0.55000000000000004">
      <c r="A1547" s="1" t="s">
        <v>1072</v>
      </c>
      <c r="B1547" s="1" t="s">
        <v>116</v>
      </c>
      <c r="C1547" s="1" t="s">
        <v>1034</v>
      </c>
      <c r="D1547" s="1" t="str">
        <f t="shared" si="58"/>
        <v xml:space="preserve">0596-28-2171  </v>
      </c>
      <c r="E1547" s="1" t="s">
        <v>81</v>
      </c>
    </row>
    <row r="1548" spans="1:5" x14ac:dyDescent="0.55000000000000004">
      <c r="A1548" s="1" t="s">
        <v>1076</v>
      </c>
      <c r="B1548" s="1" t="s">
        <v>116</v>
      </c>
      <c r="C1548" s="1" t="s">
        <v>1034</v>
      </c>
      <c r="D1548" s="1" t="str">
        <f t="shared" si="58"/>
        <v xml:space="preserve">0596-28-2171  </v>
      </c>
      <c r="E1548" s="1" t="s">
        <v>135</v>
      </c>
    </row>
    <row r="1549" spans="1:5" x14ac:dyDescent="0.55000000000000004">
      <c r="A1549" s="1" t="s">
        <v>1077</v>
      </c>
      <c r="B1549" s="1" t="s">
        <v>116</v>
      </c>
      <c r="C1549" s="1" t="s">
        <v>1034</v>
      </c>
      <c r="D1549" s="1" t="str">
        <f t="shared" si="58"/>
        <v xml:space="preserve">0596-28-2171  </v>
      </c>
      <c r="E1549" s="1" t="s">
        <v>23</v>
      </c>
    </row>
    <row r="1550" spans="1:5" x14ac:dyDescent="0.55000000000000004">
      <c r="A1550" s="1" t="s">
        <v>1078</v>
      </c>
      <c r="B1550" s="1" t="s">
        <v>116</v>
      </c>
      <c r="C1550" s="1" t="s">
        <v>1034</v>
      </c>
      <c r="D1550" s="1" t="str">
        <f t="shared" si="58"/>
        <v xml:space="preserve">0596-28-2171  </v>
      </c>
      <c r="E1550" s="1" t="s">
        <v>1079</v>
      </c>
    </row>
    <row r="1551" spans="1:5" x14ac:dyDescent="0.55000000000000004">
      <c r="A1551" s="1" t="s">
        <v>1080</v>
      </c>
      <c r="B1551" s="1" t="s">
        <v>116</v>
      </c>
      <c r="C1551" s="1" t="s">
        <v>1034</v>
      </c>
      <c r="D1551" s="1" t="str">
        <f t="shared" si="58"/>
        <v xml:space="preserve">0596-28-2171  </v>
      </c>
      <c r="E1551" s="1" t="s">
        <v>14</v>
      </c>
    </row>
    <row r="1552" spans="1:5" x14ac:dyDescent="0.55000000000000004">
      <c r="A1552" s="1" t="s">
        <v>1081</v>
      </c>
      <c r="B1552" s="1" t="s">
        <v>116</v>
      </c>
      <c r="C1552" s="1" t="s">
        <v>1034</v>
      </c>
      <c r="D1552" s="1" t="str">
        <f t="shared" si="58"/>
        <v xml:space="preserve">0596-28-2171  </v>
      </c>
      <c r="E1552" s="1" t="s">
        <v>14</v>
      </c>
    </row>
    <row r="1553" spans="1:5" x14ac:dyDescent="0.55000000000000004">
      <c r="A1553" s="1" t="s">
        <v>1143</v>
      </c>
      <c r="B1553" s="1" t="s">
        <v>116</v>
      </c>
      <c r="C1553" s="1" t="s">
        <v>1034</v>
      </c>
      <c r="D1553" s="1" t="str">
        <f t="shared" si="58"/>
        <v xml:space="preserve">0596-28-2171  </v>
      </c>
      <c r="E1553" s="1" t="s">
        <v>135</v>
      </c>
    </row>
    <row r="1554" spans="1:5" x14ac:dyDescent="0.55000000000000004">
      <c r="A1554" s="1" t="s">
        <v>1164</v>
      </c>
      <c r="B1554" s="1" t="s">
        <v>116</v>
      </c>
      <c r="C1554" s="1" t="s">
        <v>1034</v>
      </c>
      <c r="D1554" s="1" t="str">
        <f t="shared" si="58"/>
        <v xml:space="preserve">0596-28-2171  </v>
      </c>
      <c r="E1554" s="1" t="s">
        <v>81</v>
      </c>
    </row>
    <row r="1555" spans="1:5" x14ac:dyDescent="0.55000000000000004">
      <c r="A1555" s="1" t="s">
        <v>1179</v>
      </c>
      <c r="B1555" s="1" t="s">
        <v>116</v>
      </c>
      <c r="C1555" s="1" t="s">
        <v>1034</v>
      </c>
      <c r="D1555" s="1" t="str">
        <f t="shared" si="58"/>
        <v xml:space="preserve">0596-28-2171  </v>
      </c>
      <c r="E1555" s="1" t="s">
        <v>1180</v>
      </c>
    </row>
    <row r="1556" spans="1:5" x14ac:dyDescent="0.55000000000000004">
      <c r="A1556" s="1" t="s">
        <v>1183</v>
      </c>
      <c r="B1556" s="1" t="s">
        <v>116</v>
      </c>
      <c r="C1556" s="1" t="s">
        <v>1034</v>
      </c>
      <c r="D1556" s="1" t="str">
        <f t="shared" si="58"/>
        <v xml:space="preserve">0596-28-2171  </v>
      </c>
      <c r="E1556" s="1" t="s">
        <v>1184</v>
      </c>
    </row>
    <row r="1557" spans="1:5" x14ac:dyDescent="0.55000000000000004">
      <c r="A1557" s="1" t="s">
        <v>1192</v>
      </c>
      <c r="B1557" s="1" t="s">
        <v>116</v>
      </c>
      <c r="C1557" s="1" t="s">
        <v>1034</v>
      </c>
      <c r="D1557" s="1" t="str">
        <f t="shared" si="58"/>
        <v xml:space="preserve">0596-28-2171  </v>
      </c>
      <c r="E1557" s="1" t="s">
        <v>981</v>
      </c>
    </row>
    <row r="1558" spans="1:5" x14ac:dyDescent="0.55000000000000004">
      <c r="A1558" s="1" t="s">
        <v>1193</v>
      </c>
      <c r="B1558" s="1" t="s">
        <v>116</v>
      </c>
      <c r="C1558" s="1" t="s">
        <v>1034</v>
      </c>
      <c r="D1558" s="1" t="str">
        <f t="shared" si="58"/>
        <v xml:space="preserve">0596-28-2171  </v>
      </c>
      <c r="E1558" s="1" t="s">
        <v>131</v>
      </c>
    </row>
    <row r="1559" spans="1:5" x14ac:dyDescent="0.55000000000000004">
      <c r="A1559" s="1" t="s">
        <v>1194</v>
      </c>
      <c r="B1559" s="1" t="s">
        <v>116</v>
      </c>
      <c r="C1559" s="1" t="s">
        <v>1034</v>
      </c>
      <c r="D1559" s="1" t="str">
        <f t="shared" si="58"/>
        <v xml:space="preserve">0596-28-2171  </v>
      </c>
      <c r="E1559" s="1" t="s">
        <v>131</v>
      </c>
    </row>
    <row r="1560" spans="1:5" x14ac:dyDescent="0.55000000000000004">
      <c r="A1560" s="1" t="s">
        <v>1201</v>
      </c>
      <c r="B1560" s="1" t="s">
        <v>116</v>
      </c>
      <c r="C1560" s="1" t="s">
        <v>1034</v>
      </c>
      <c r="D1560" s="1" t="str">
        <f t="shared" si="58"/>
        <v xml:space="preserve">0596-28-2171  </v>
      </c>
      <c r="E1560" s="1" t="s">
        <v>111</v>
      </c>
    </row>
    <row r="1561" spans="1:5" x14ac:dyDescent="0.55000000000000004">
      <c r="A1561" s="1" t="s">
        <v>1206</v>
      </c>
      <c r="B1561" s="1" t="s">
        <v>116</v>
      </c>
      <c r="C1561" s="1" t="s">
        <v>1034</v>
      </c>
      <c r="D1561" s="1" t="str">
        <f t="shared" si="58"/>
        <v xml:space="preserve">0596-28-2171  </v>
      </c>
      <c r="E1561" s="1" t="s">
        <v>10</v>
      </c>
    </row>
    <row r="1562" spans="1:5" x14ac:dyDescent="0.55000000000000004">
      <c r="A1562" s="1" t="s">
        <v>1208</v>
      </c>
      <c r="B1562" s="1" t="s">
        <v>116</v>
      </c>
      <c r="C1562" s="1" t="s">
        <v>1034</v>
      </c>
      <c r="D1562" s="1" t="str">
        <f t="shared" si="58"/>
        <v xml:space="preserve">0596-28-2171  </v>
      </c>
      <c r="E1562" s="1" t="s">
        <v>1209</v>
      </c>
    </row>
    <row r="1563" spans="1:5" x14ac:dyDescent="0.55000000000000004">
      <c r="A1563" s="1" t="s">
        <v>1210</v>
      </c>
      <c r="B1563" s="1" t="s">
        <v>116</v>
      </c>
      <c r="C1563" s="1" t="s">
        <v>1034</v>
      </c>
      <c r="D1563" s="1" t="str">
        <f t="shared" si="58"/>
        <v xml:space="preserve">0596-28-2171  </v>
      </c>
      <c r="E1563" s="1" t="s">
        <v>1209</v>
      </c>
    </row>
    <row r="1564" spans="1:5" x14ac:dyDescent="0.55000000000000004">
      <c r="A1564" s="1" t="s">
        <v>1237</v>
      </c>
      <c r="B1564" s="1" t="s">
        <v>116</v>
      </c>
      <c r="C1564" s="1" t="s">
        <v>1034</v>
      </c>
      <c r="D1564" s="1" t="str">
        <f t="shared" si="58"/>
        <v xml:space="preserve">0596-28-2171  </v>
      </c>
      <c r="E1564" s="1" t="s">
        <v>131</v>
      </c>
    </row>
    <row r="1565" spans="1:5" x14ac:dyDescent="0.55000000000000004">
      <c r="A1565" s="1" t="s">
        <v>1269</v>
      </c>
      <c r="B1565" s="1" t="s">
        <v>116</v>
      </c>
      <c r="C1565" s="1" t="s">
        <v>1034</v>
      </c>
      <c r="D1565" s="1" t="str">
        <f t="shared" ref="D1565:D1586" si="59">"0596-28-2171  "</f>
        <v xml:space="preserve">0596-28-2171  </v>
      </c>
      <c r="E1565" s="1" t="s">
        <v>981</v>
      </c>
    </row>
    <row r="1566" spans="1:5" x14ac:dyDescent="0.55000000000000004">
      <c r="A1566" s="1" t="s">
        <v>1354</v>
      </c>
      <c r="B1566" s="1" t="s">
        <v>116</v>
      </c>
      <c r="C1566" s="1" t="s">
        <v>1034</v>
      </c>
      <c r="D1566" s="1" t="str">
        <f t="shared" si="59"/>
        <v xml:space="preserve">0596-28-2171  </v>
      </c>
      <c r="E1566" s="1" t="s">
        <v>23</v>
      </c>
    </row>
    <row r="1567" spans="1:5" x14ac:dyDescent="0.55000000000000004">
      <c r="A1567" s="1" t="s">
        <v>1357</v>
      </c>
      <c r="B1567" s="1" t="s">
        <v>116</v>
      </c>
      <c r="C1567" s="1" t="s">
        <v>1034</v>
      </c>
      <c r="D1567" s="1" t="str">
        <f t="shared" si="59"/>
        <v xml:space="preserve">0596-28-2171  </v>
      </c>
      <c r="E1567" s="1" t="s">
        <v>14</v>
      </c>
    </row>
    <row r="1568" spans="1:5" x14ac:dyDescent="0.55000000000000004">
      <c r="A1568" s="1" t="s">
        <v>1521</v>
      </c>
      <c r="B1568" s="1" t="s">
        <v>116</v>
      </c>
      <c r="C1568" s="1" t="s">
        <v>1034</v>
      </c>
      <c r="D1568" s="1" t="str">
        <f t="shared" si="59"/>
        <v xml:space="preserve">0596-28-2171  </v>
      </c>
      <c r="E1568" s="1" t="s">
        <v>111</v>
      </c>
    </row>
    <row r="1569" spans="1:5" x14ac:dyDescent="0.55000000000000004">
      <c r="A1569" s="1" t="s">
        <v>1556</v>
      </c>
      <c r="B1569" s="1" t="s">
        <v>116</v>
      </c>
      <c r="C1569" s="1" t="s">
        <v>1034</v>
      </c>
      <c r="D1569" s="1" t="str">
        <f t="shared" si="59"/>
        <v xml:space="preserve">0596-28-2171  </v>
      </c>
      <c r="E1569" s="1" t="s">
        <v>111</v>
      </c>
    </row>
    <row r="1570" spans="1:5" x14ac:dyDescent="0.55000000000000004">
      <c r="A1570" s="1" t="s">
        <v>1632</v>
      </c>
      <c r="B1570" s="1" t="s">
        <v>116</v>
      </c>
      <c r="C1570" s="1" t="s">
        <v>1034</v>
      </c>
      <c r="D1570" s="1" t="str">
        <f t="shared" si="59"/>
        <v xml:space="preserve">0596-28-2171  </v>
      </c>
      <c r="E1570" s="1" t="s">
        <v>23</v>
      </c>
    </row>
    <row r="1571" spans="1:5" x14ac:dyDescent="0.55000000000000004">
      <c r="A1571" s="1" t="s">
        <v>1983</v>
      </c>
      <c r="B1571" s="1" t="s">
        <v>116</v>
      </c>
      <c r="C1571" s="1" t="s">
        <v>1984</v>
      </c>
      <c r="D1571" s="1" t="str">
        <f t="shared" si="59"/>
        <v xml:space="preserve">0596-28-2171  </v>
      </c>
      <c r="E1571" s="1" t="s">
        <v>35</v>
      </c>
    </row>
    <row r="1572" spans="1:5" x14ac:dyDescent="0.55000000000000004">
      <c r="A1572" s="1" t="s">
        <v>2179</v>
      </c>
      <c r="B1572" s="1" t="s">
        <v>116</v>
      </c>
      <c r="C1572" s="1" t="s">
        <v>1034</v>
      </c>
      <c r="D1572" s="1" t="str">
        <f t="shared" si="59"/>
        <v xml:space="preserve">0596-28-2171  </v>
      </c>
      <c r="E1572" s="1" t="s">
        <v>81</v>
      </c>
    </row>
    <row r="1573" spans="1:5" x14ac:dyDescent="0.55000000000000004">
      <c r="A1573" s="1" t="s">
        <v>1773</v>
      </c>
      <c r="B1573" s="1" t="s">
        <v>116</v>
      </c>
      <c r="C1573" s="1" t="s">
        <v>1034</v>
      </c>
      <c r="D1573" s="1" t="str">
        <f t="shared" si="59"/>
        <v xml:space="preserve">0596-28-2171  </v>
      </c>
      <c r="E1573" s="1" t="s">
        <v>34</v>
      </c>
    </row>
    <row r="1574" spans="1:5" x14ac:dyDescent="0.55000000000000004">
      <c r="A1574" s="1" t="s">
        <v>2190</v>
      </c>
      <c r="B1574" s="1" t="s">
        <v>116</v>
      </c>
      <c r="C1574" s="1" t="s">
        <v>1034</v>
      </c>
      <c r="D1574" s="1" t="str">
        <f t="shared" si="59"/>
        <v xml:space="preserve">0596-28-2171  </v>
      </c>
      <c r="E1574" s="1" t="s">
        <v>2191</v>
      </c>
    </row>
    <row r="1575" spans="1:5" x14ac:dyDescent="0.55000000000000004">
      <c r="A1575" s="1" t="s">
        <v>2195</v>
      </c>
      <c r="B1575" s="1" t="s">
        <v>116</v>
      </c>
      <c r="C1575" s="1" t="s">
        <v>1034</v>
      </c>
      <c r="D1575" s="1" t="str">
        <f t="shared" si="59"/>
        <v xml:space="preserve">0596-28-2171  </v>
      </c>
      <c r="E1575" s="1" t="s">
        <v>35</v>
      </c>
    </row>
    <row r="1576" spans="1:5" x14ac:dyDescent="0.55000000000000004">
      <c r="A1576" s="1" t="s">
        <v>2597</v>
      </c>
      <c r="B1576" s="1" t="s">
        <v>116</v>
      </c>
      <c r="C1576" s="1" t="s">
        <v>1034</v>
      </c>
      <c r="D1576" s="1" t="str">
        <f t="shared" si="59"/>
        <v xml:space="preserve">0596-28-2171  </v>
      </c>
      <c r="E1576" s="1" t="s">
        <v>7</v>
      </c>
    </row>
    <row r="1577" spans="1:5" x14ac:dyDescent="0.55000000000000004">
      <c r="A1577" s="1" t="s">
        <v>1711</v>
      </c>
      <c r="B1577" s="1" t="s">
        <v>116</v>
      </c>
      <c r="C1577" s="1" t="s">
        <v>1034</v>
      </c>
      <c r="D1577" s="1" t="str">
        <f t="shared" si="59"/>
        <v xml:space="preserve">0596-28-2171  </v>
      </c>
      <c r="E1577" s="1" t="s">
        <v>1180</v>
      </c>
    </row>
    <row r="1578" spans="1:5" x14ac:dyDescent="0.55000000000000004">
      <c r="A1578" s="1" t="s">
        <v>1739</v>
      </c>
      <c r="B1578" s="1" t="s">
        <v>116</v>
      </c>
      <c r="C1578" s="1" t="s">
        <v>1034</v>
      </c>
      <c r="D1578" s="1" t="str">
        <f t="shared" si="59"/>
        <v xml:space="preserve">0596-28-2171  </v>
      </c>
      <c r="E1578" s="1" t="s">
        <v>23</v>
      </c>
    </row>
    <row r="1579" spans="1:5" x14ac:dyDescent="0.55000000000000004">
      <c r="A1579" s="1" t="s">
        <v>2208</v>
      </c>
      <c r="B1579" s="1" t="s">
        <v>116</v>
      </c>
      <c r="C1579" s="1" t="s">
        <v>1034</v>
      </c>
      <c r="D1579" s="1" t="str">
        <f t="shared" si="59"/>
        <v xml:space="preserve">0596-28-2171  </v>
      </c>
      <c r="E1579" s="1" t="s">
        <v>2209</v>
      </c>
    </row>
    <row r="1580" spans="1:5" x14ac:dyDescent="0.55000000000000004">
      <c r="A1580" s="1" t="s">
        <v>1797</v>
      </c>
      <c r="B1580" s="1" t="s">
        <v>116</v>
      </c>
      <c r="C1580" s="1" t="s">
        <v>1034</v>
      </c>
      <c r="D1580" s="1" t="str">
        <f t="shared" si="59"/>
        <v xml:space="preserve">0596-28-2171  </v>
      </c>
      <c r="E1580" s="1" t="s">
        <v>106</v>
      </c>
    </row>
    <row r="1581" spans="1:5" x14ac:dyDescent="0.55000000000000004">
      <c r="A1581" s="1" t="s">
        <v>1798</v>
      </c>
      <c r="B1581" s="1" t="s">
        <v>116</v>
      </c>
      <c r="C1581" s="1" t="s">
        <v>1034</v>
      </c>
      <c r="D1581" s="1" t="str">
        <f t="shared" si="59"/>
        <v xml:space="preserve">0596-28-2171  </v>
      </c>
      <c r="E1581" s="1" t="s">
        <v>34</v>
      </c>
    </row>
    <row r="1582" spans="1:5" x14ac:dyDescent="0.55000000000000004">
      <c r="A1582" s="1" t="s">
        <v>1842</v>
      </c>
      <c r="B1582" s="1" t="s">
        <v>116</v>
      </c>
      <c r="C1582" s="1" t="s">
        <v>1034</v>
      </c>
      <c r="D1582" s="1" t="str">
        <f t="shared" si="59"/>
        <v xml:space="preserve">0596-28-2171  </v>
      </c>
      <c r="E1582" s="1" t="s">
        <v>1843</v>
      </c>
    </row>
    <row r="1583" spans="1:5" x14ac:dyDescent="0.55000000000000004">
      <c r="A1583" s="1" t="s">
        <v>2662</v>
      </c>
      <c r="B1583" s="1" t="s">
        <v>116</v>
      </c>
      <c r="C1583" s="1" t="s">
        <v>1034</v>
      </c>
      <c r="D1583" s="1" t="str">
        <f t="shared" si="59"/>
        <v xml:space="preserve">0596-28-2171  </v>
      </c>
      <c r="E1583" s="1" t="s">
        <v>1180</v>
      </c>
    </row>
    <row r="1584" spans="1:5" x14ac:dyDescent="0.55000000000000004">
      <c r="A1584" s="1" t="s">
        <v>1916</v>
      </c>
      <c r="B1584" s="1" t="s">
        <v>116</v>
      </c>
      <c r="C1584" s="1" t="s">
        <v>1034</v>
      </c>
      <c r="D1584" s="1" t="str">
        <f t="shared" si="59"/>
        <v xml:space="preserve">0596-28-2171  </v>
      </c>
      <c r="E1584" s="1" t="s">
        <v>1378</v>
      </c>
    </row>
    <row r="1585" spans="1:5" x14ac:dyDescent="0.55000000000000004">
      <c r="A1585" s="1" t="s">
        <v>125</v>
      </c>
      <c r="B1585" s="1" t="s">
        <v>116</v>
      </c>
      <c r="C1585" s="1" t="s">
        <v>1034</v>
      </c>
      <c r="D1585" s="1" t="str">
        <f t="shared" si="59"/>
        <v xml:space="preserve">0596-28-2171  </v>
      </c>
      <c r="E1585" s="1" t="s">
        <v>22</v>
      </c>
    </row>
    <row r="1586" spans="1:5" x14ac:dyDescent="0.55000000000000004">
      <c r="A1586" s="1" t="s">
        <v>2700</v>
      </c>
      <c r="B1586" s="1" t="s">
        <v>3101</v>
      </c>
      <c r="C1586" s="1" t="s">
        <v>1034</v>
      </c>
      <c r="D1586" s="1" t="str">
        <f t="shared" si="59"/>
        <v xml:space="preserve">0596-28-2171  </v>
      </c>
      <c r="E1586" s="1" t="s">
        <v>2701</v>
      </c>
    </row>
    <row r="1587" spans="1:5" x14ac:dyDescent="0.55000000000000004">
      <c r="A1587" s="1" t="s">
        <v>667</v>
      </c>
      <c r="B1587" s="1" t="s">
        <v>668</v>
      </c>
      <c r="C1587" s="1" t="str">
        <f>"伊勢市宮後3-8-52"</f>
        <v>伊勢市宮後3-8-52</v>
      </c>
      <c r="D1587" s="1" t="str">
        <f>"0596-23-7711  "</f>
        <v xml:space="preserve">0596-23-7711  </v>
      </c>
      <c r="E1587" s="1" t="s">
        <v>34</v>
      </c>
    </row>
    <row r="1588" spans="1:5" x14ac:dyDescent="0.55000000000000004">
      <c r="A1588" s="1" t="s">
        <v>1059</v>
      </c>
      <c r="B1588" s="1" t="s">
        <v>668</v>
      </c>
      <c r="C1588" s="1" t="str">
        <f>"伊勢市宮後3-8-52"</f>
        <v>伊勢市宮後3-8-52</v>
      </c>
      <c r="D1588" s="1" t="str">
        <f>"0596-23-7711  "</f>
        <v xml:space="preserve">0596-23-7711  </v>
      </c>
      <c r="E1588" s="1" t="s">
        <v>34</v>
      </c>
    </row>
    <row r="1589" spans="1:5" x14ac:dyDescent="0.55000000000000004">
      <c r="A1589" s="1" t="s">
        <v>1695</v>
      </c>
      <c r="B1589" s="1" t="s">
        <v>1696</v>
      </c>
      <c r="C1589" s="1" t="s">
        <v>1697</v>
      </c>
      <c r="D1589" s="1" t="str">
        <f>"0596-31-0031  "</f>
        <v xml:space="preserve">0596-31-0031  </v>
      </c>
      <c r="E1589" s="1" t="s">
        <v>111</v>
      </c>
    </row>
    <row r="1590" spans="1:5" x14ac:dyDescent="0.55000000000000004">
      <c r="A1590" s="1" t="s">
        <v>1908</v>
      </c>
      <c r="B1590" s="1" t="s">
        <v>1909</v>
      </c>
      <c r="C1590" s="1" t="s">
        <v>1910</v>
      </c>
      <c r="D1590" s="1" t="str">
        <f>"0596-35-0700  "</f>
        <v xml:space="preserve">0596-35-0700  </v>
      </c>
      <c r="E1590" s="1" t="s">
        <v>69</v>
      </c>
    </row>
    <row r="1591" spans="1:5" x14ac:dyDescent="0.55000000000000004">
      <c r="A1591" s="1" t="s">
        <v>1594</v>
      </c>
      <c r="B1591" s="1" t="s">
        <v>1595</v>
      </c>
      <c r="C1591" s="1" t="str">
        <f>"伊勢市神田久志本町1539-6"</f>
        <v>伊勢市神田久志本町1539-6</v>
      </c>
      <c r="D1591" s="1" t="str">
        <f>"0596-23-2288  "</f>
        <v xml:space="preserve">0596-23-2288  </v>
      </c>
      <c r="E1591" s="1" t="s">
        <v>215</v>
      </c>
    </row>
    <row r="1592" spans="1:5" x14ac:dyDescent="0.55000000000000004">
      <c r="A1592" s="1" t="s">
        <v>456</v>
      </c>
      <c r="B1592" s="1" t="s">
        <v>457</v>
      </c>
      <c r="C1592" s="1" t="str">
        <f>"伊勢市浦口2丁目2-13"</f>
        <v>伊勢市浦口2丁目2-13</v>
      </c>
      <c r="D1592" s="1" t="str">
        <f>"0596-23-1211  "</f>
        <v xml:space="preserve">0596-23-1211  </v>
      </c>
      <c r="E1592" s="1" t="s">
        <v>6</v>
      </c>
    </row>
    <row r="1593" spans="1:5" x14ac:dyDescent="0.55000000000000004">
      <c r="A1593" s="1" t="s">
        <v>2731</v>
      </c>
      <c r="B1593" s="1" t="s">
        <v>2732</v>
      </c>
      <c r="C1593" s="1" t="str">
        <f>"伊勢市中之町72-1"</f>
        <v>伊勢市中之町72-1</v>
      </c>
      <c r="D1593" s="1" t="str">
        <f>"0596-20-3100  "</f>
        <v xml:space="preserve">0596-20-3100  </v>
      </c>
      <c r="E1593" s="1" t="s">
        <v>6</v>
      </c>
    </row>
    <row r="1594" spans="1:5" x14ac:dyDescent="0.55000000000000004">
      <c r="A1594" s="1" t="s">
        <v>2363</v>
      </c>
      <c r="B1594" s="1" t="s">
        <v>2364</v>
      </c>
      <c r="C1594" s="1" t="str">
        <f>"伊勢市一志町7-1"</f>
        <v>伊勢市一志町7-1</v>
      </c>
      <c r="D1594" s="1" t="str">
        <f>"0596-24-3387  "</f>
        <v xml:space="preserve">0596-24-3387  </v>
      </c>
      <c r="E1594" s="1" t="s">
        <v>22</v>
      </c>
    </row>
    <row r="1595" spans="1:5" x14ac:dyDescent="0.55000000000000004">
      <c r="A1595" s="1" t="s">
        <v>120</v>
      </c>
      <c r="B1595" s="1" t="s">
        <v>465</v>
      </c>
      <c r="C1595" s="1" t="str">
        <f t="shared" ref="C1595:C1602" si="60">"伊勢市御薗町高向810-1"</f>
        <v>伊勢市御薗町高向810-1</v>
      </c>
      <c r="D1595" s="1" t="str">
        <f t="shared" ref="D1595:D1602" si="61">"0596-22-1155  "</f>
        <v xml:space="preserve">0596-22-1155  </v>
      </c>
      <c r="E1595" s="1" t="s">
        <v>6</v>
      </c>
    </row>
    <row r="1596" spans="1:5" x14ac:dyDescent="0.55000000000000004">
      <c r="A1596" s="1" t="s">
        <v>3014</v>
      </c>
      <c r="B1596" s="1" t="s">
        <v>465</v>
      </c>
      <c r="C1596" s="1" t="str">
        <f t="shared" si="60"/>
        <v>伊勢市御薗町高向810-1</v>
      </c>
      <c r="D1596" s="1" t="str">
        <f t="shared" si="61"/>
        <v xml:space="preserve">0596-22-1155  </v>
      </c>
      <c r="E1596" s="1" t="s">
        <v>6</v>
      </c>
    </row>
    <row r="1597" spans="1:5" x14ac:dyDescent="0.55000000000000004">
      <c r="A1597" s="1" t="s">
        <v>2138</v>
      </c>
      <c r="B1597" s="1" t="s">
        <v>465</v>
      </c>
      <c r="C1597" s="1" t="str">
        <f t="shared" si="60"/>
        <v>伊勢市御薗町高向810-1</v>
      </c>
      <c r="D1597" s="1" t="str">
        <f t="shared" si="61"/>
        <v xml:space="preserve">0596-22-1155  </v>
      </c>
      <c r="E1597" s="1" t="s">
        <v>6</v>
      </c>
    </row>
    <row r="1598" spans="1:5" x14ac:dyDescent="0.55000000000000004">
      <c r="A1598" s="1" t="s">
        <v>464</v>
      </c>
      <c r="B1598" s="1" t="s">
        <v>465</v>
      </c>
      <c r="C1598" s="1" t="str">
        <f t="shared" si="60"/>
        <v>伊勢市御薗町高向810-1</v>
      </c>
      <c r="D1598" s="1" t="str">
        <f t="shared" si="61"/>
        <v xml:space="preserve">0596-22-1155  </v>
      </c>
      <c r="E1598" s="1" t="s">
        <v>455</v>
      </c>
    </row>
    <row r="1599" spans="1:5" x14ac:dyDescent="0.55000000000000004">
      <c r="A1599" s="1" t="s">
        <v>497</v>
      </c>
      <c r="B1599" s="1" t="s">
        <v>465</v>
      </c>
      <c r="C1599" s="1" t="str">
        <f t="shared" si="60"/>
        <v>伊勢市御薗町高向810-1</v>
      </c>
      <c r="D1599" s="1" t="str">
        <f t="shared" si="61"/>
        <v xml:space="preserve">0596-22-1155  </v>
      </c>
      <c r="E1599" s="1" t="s">
        <v>135</v>
      </c>
    </row>
    <row r="1600" spans="1:5" x14ac:dyDescent="0.55000000000000004">
      <c r="A1600" s="1" t="s">
        <v>969</v>
      </c>
      <c r="B1600" s="1" t="s">
        <v>465</v>
      </c>
      <c r="C1600" s="1" t="str">
        <f t="shared" si="60"/>
        <v>伊勢市御薗町高向810-1</v>
      </c>
      <c r="D1600" s="1" t="str">
        <f t="shared" si="61"/>
        <v xml:space="preserve">0596-22-1155  </v>
      </c>
      <c r="E1600" s="1" t="s">
        <v>970</v>
      </c>
    </row>
    <row r="1601" spans="1:5" x14ac:dyDescent="0.55000000000000004">
      <c r="A1601" s="1" t="s">
        <v>1060</v>
      </c>
      <c r="B1601" s="1" t="s">
        <v>465</v>
      </c>
      <c r="C1601" s="1" t="str">
        <f t="shared" si="60"/>
        <v>伊勢市御薗町高向810-1</v>
      </c>
      <c r="D1601" s="1" t="str">
        <f t="shared" si="61"/>
        <v xml:space="preserve">0596-22-1155  </v>
      </c>
      <c r="E1601" s="1" t="s">
        <v>6</v>
      </c>
    </row>
    <row r="1602" spans="1:5" x14ac:dyDescent="0.55000000000000004">
      <c r="A1602" s="1" t="s">
        <v>1082</v>
      </c>
      <c r="B1602" s="1" t="s">
        <v>1083</v>
      </c>
      <c r="C1602" s="1" t="str">
        <f t="shared" si="60"/>
        <v>伊勢市御薗町高向810-1</v>
      </c>
      <c r="D1602" s="1" t="str">
        <f t="shared" si="61"/>
        <v xml:space="preserve">0596-22-1155  </v>
      </c>
      <c r="E1602" s="1" t="s">
        <v>14</v>
      </c>
    </row>
    <row r="1603" spans="1:5" x14ac:dyDescent="0.55000000000000004">
      <c r="A1603" s="1" t="s">
        <v>1629</v>
      </c>
      <c r="B1603" s="1" t="s">
        <v>1630</v>
      </c>
      <c r="C1603" s="1" t="str">
        <f>"伊勢市神久5-7-56"</f>
        <v>伊勢市神久5-7-56</v>
      </c>
      <c r="D1603" s="1" t="str">
        <f>"0596-22-1181  "</f>
        <v xml:space="preserve">0596-22-1181  </v>
      </c>
      <c r="E1603" s="1" t="s">
        <v>1631</v>
      </c>
    </row>
    <row r="1604" spans="1:5" x14ac:dyDescent="0.55000000000000004">
      <c r="A1604" s="1" t="s">
        <v>2888</v>
      </c>
      <c r="B1604" s="1" t="s">
        <v>1630</v>
      </c>
      <c r="C1604" s="1" t="str">
        <f>"伊勢市神久5-7-56"</f>
        <v>伊勢市神久5-7-56</v>
      </c>
      <c r="D1604" s="1" t="str">
        <f>"0596-22-1181  "</f>
        <v xml:space="preserve">0596-22-1181  </v>
      </c>
      <c r="E1604" s="1" t="s">
        <v>2889</v>
      </c>
    </row>
    <row r="1605" spans="1:5" x14ac:dyDescent="0.55000000000000004">
      <c r="A1605" s="1" t="s">
        <v>2890</v>
      </c>
      <c r="B1605" s="1" t="s">
        <v>2891</v>
      </c>
      <c r="C1605" s="1" t="str">
        <f>"伊勢市河崎1-12-1"</f>
        <v>伊勢市河崎1-12-1</v>
      </c>
      <c r="D1605" s="1" t="str">
        <f>"0596-28-7556  "</f>
        <v xml:space="preserve">0596-28-7556  </v>
      </c>
      <c r="E1605" s="1" t="s">
        <v>2892</v>
      </c>
    </row>
    <row r="1606" spans="1:5" x14ac:dyDescent="0.55000000000000004">
      <c r="A1606" s="1" t="s">
        <v>376</v>
      </c>
      <c r="B1606" s="1" t="s">
        <v>377</v>
      </c>
      <c r="C1606" s="1" t="s">
        <v>378</v>
      </c>
      <c r="D1606" s="1" t="str">
        <f>"0596-29-1159  "</f>
        <v xml:space="preserve">0596-29-1159  </v>
      </c>
      <c r="E1606" s="1" t="s">
        <v>6</v>
      </c>
    </row>
    <row r="1607" spans="1:5" x14ac:dyDescent="0.55000000000000004">
      <c r="A1607" s="1" t="s">
        <v>162</v>
      </c>
      <c r="B1607" s="1" t="s">
        <v>163</v>
      </c>
      <c r="C1607" s="1" t="str">
        <f>"伊勢市藤里町671-17"</f>
        <v>伊勢市藤里町671-17</v>
      </c>
      <c r="D1607" s="1" t="str">
        <f>"0596-20-0220  "</f>
        <v xml:space="preserve">0596-20-0220  </v>
      </c>
      <c r="E1607" s="1" t="s">
        <v>135</v>
      </c>
    </row>
    <row r="1608" spans="1:5" x14ac:dyDescent="0.55000000000000004">
      <c r="A1608" s="1" t="s">
        <v>164</v>
      </c>
      <c r="B1608" s="1" t="s">
        <v>163</v>
      </c>
      <c r="C1608" s="1" t="str">
        <f>"伊勢市藤里町671-17"</f>
        <v>伊勢市藤里町671-17</v>
      </c>
      <c r="D1608" s="1" t="str">
        <f>"0596-20-0220  "</f>
        <v xml:space="preserve">0596-20-0220  </v>
      </c>
      <c r="E1608" s="1" t="s">
        <v>135</v>
      </c>
    </row>
    <row r="1609" spans="1:5" x14ac:dyDescent="0.55000000000000004">
      <c r="A1609" s="1" t="s">
        <v>2786</v>
      </c>
      <c r="B1609" s="1" t="s">
        <v>2787</v>
      </c>
      <c r="C1609" s="1" t="str">
        <f>"伊勢市御薗町長屋1997-1"</f>
        <v>伊勢市御薗町長屋1997-1</v>
      </c>
      <c r="D1609" s="1" t="str">
        <f>"0596-26-2111  "</f>
        <v xml:space="preserve">0596-26-2111  </v>
      </c>
      <c r="E1609" s="1" t="s">
        <v>1330</v>
      </c>
    </row>
    <row r="1610" spans="1:5" x14ac:dyDescent="0.55000000000000004">
      <c r="A1610" s="1" t="s">
        <v>2480</v>
      </c>
      <c r="B1610" s="1" t="s">
        <v>2481</v>
      </c>
      <c r="C1610" s="1" t="s">
        <v>2482</v>
      </c>
      <c r="D1610" s="1" t="str">
        <f>"0596-25-8741  "</f>
        <v xml:space="preserve">0596-25-8741  </v>
      </c>
      <c r="E1610" s="1" t="s">
        <v>22</v>
      </c>
    </row>
    <row r="1611" spans="1:5" x14ac:dyDescent="0.55000000000000004">
      <c r="A1611" s="1" t="s">
        <v>2611</v>
      </c>
      <c r="B1611" s="1" t="s">
        <v>146</v>
      </c>
      <c r="C1611" s="1" t="str">
        <f>"伊勢市八日市場町9-12"</f>
        <v>伊勢市八日市場町9-12</v>
      </c>
      <c r="D1611" s="1" t="str">
        <f>"0596-28-1122  "</f>
        <v xml:space="preserve">0596-28-1122  </v>
      </c>
      <c r="E1611" s="1" t="s">
        <v>14</v>
      </c>
    </row>
    <row r="1612" spans="1:5" x14ac:dyDescent="0.55000000000000004">
      <c r="A1612" s="1" t="s">
        <v>1545</v>
      </c>
      <c r="B1612" s="1" t="s">
        <v>1546</v>
      </c>
      <c r="C1612" s="1" t="s">
        <v>1547</v>
      </c>
      <c r="D1612" s="1" t="str">
        <f>"0596-22-2218  "</f>
        <v xml:space="preserve">0596-22-2218  </v>
      </c>
      <c r="E1612" s="1" t="s">
        <v>1548</v>
      </c>
    </row>
    <row r="1613" spans="1:5" x14ac:dyDescent="0.55000000000000004">
      <c r="A1613" s="1" t="s">
        <v>1562</v>
      </c>
      <c r="B1613" s="1" t="s">
        <v>2268</v>
      </c>
      <c r="C1613" s="1" t="s">
        <v>3071</v>
      </c>
      <c r="D1613" s="1" t="str">
        <f>"0596-72-8070  "</f>
        <v xml:space="preserve">0596-72-8070  </v>
      </c>
      <c r="E1613" s="1" t="s">
        <v>6</v>
      </c>
    </row>
    <row r="1614" spans="1:5" x14ac:dyDescent="0.55000000000000004">
      <c r="A1614" s="1" t="s">
        <v>631</v>
      </c>
      <c r="B1614" s="1" t="s">
        <v>2044</v>
      </c>
      <c r="C1614" s="1" t="str">
        <f>"伊勢市大世古4-6-47"</f>
        <v>伊勢市大世古4-6-47</v>
      </c>
      <c r="D1614" s="1" t="str">
        <f>"0596-25-3111  "</f>
        <v xml:space="preserve">0596-25-3111  </v>
      </c>
      <c r="E1614" s="1" t="s">
        <v>23</v>
      </c>
    </row>
    <row r="1615" spans="1:5" x14ac:dyDescent="0.55000000000000004">
      <c r="A1615" s="1" t="s">
        <v>2428</v>
      </c>
      <c r="B1615" s="1" t="s">
        <v>2044</v>
      </c>
      <c r="C1615" s="1" t="s">
        <v>2844</v>
      </c>
      <c r="D1615" s="1" t="str">
        <f>"0596-25-3111  "</f>
        <v xml:space="preserve">0596-25-3111  </v>
      </c>
      <c r="E1615" s="1" t="s">
        <v>123</v>
      </c>
    </row>
    <row r="1616" spans="1:5" x14ac:dyDescent="0.55000000000000004">
      <c r="A1616" s="1" t="s">
        <v>2843</v>
      </c>
      <c r="B1616" s="1" t="s">
        <v>2044</v>
      </c>
      <c r="C1616" s="1" t="s">
        <v>2844</v>
      </c>
      <c r="D1616" s="1" t="str">
        <f>"0596-25-3111  "</f>
        <v xml:space="preserve">0596-25-3111  </v>
      </c>
      <c r="E1616" s="1" t="s">
        <v>23</v>
      </c>
    </row>
    <row r="1617" spans="1:5" x14ac:dyDescent="0.55000000000000004">
      <c r="A1617" s="1" t="s">
        <v>1575</v>
      </c>
      <c r="B1617" s="1" t="s">
        <v>1576</v>
      </c>
      <c r="C1617" s="1" t="s">
        <v>1577</v>
      </c>
      <c r="D1617" s="1" t="str">
        <f>"0596-36-6500  "</f>
        <v xml:space="preserve">0596-36-6500  </v>
      </c>
      <c r="E1617" s="1" t="s">
        <v>1578</v>
      </c>
    </row>
    <row r="1618" spans="1:5" x14ac:dyDescent="0.55000000000000004">
      <c r="A1618" s="1" t="s">
        <v>437</v>
      </c>
      <c r="B1618" s="1" t="s">
        <v>438</v>
      </c>
      <c r="C1618" s="1" t="str">
        <f>"伊勢市河崎1丁目9-37"</f>
        <v>伊勢市河崎1丁目9-37</v>
      </c>
      <c r="D1618" s="1" t="str">
        <f>"0596-28-0100  "</f>
        <v xml:space="preserve">0596-28-0100  </v>
      </c>
      <c r="E1618" s="1" t="s">
        <v>34</v>
      </c>
    </row>
    <row r="1619" spans="1:5" x14ac:dyDescent="0.55000000000000004">
      <c r="A1619" s="1" t="s">
        <v>439</v>
      </c>
      <c r="B1619" s="1" t="s">
        <v>438</v>
      </c>
      <c r="C1619" s="1" t="str">
        <f>"伊勢市河崎1丁目9-37"</f>
        <v>伊勢市河崎1丁目9-37</v>
      </c>
      <c r="D1619" s="1" t="str">
        <f>"0596-28-0100  "</f>
        <v xml:space="preserve">0596-28-0100  </v>
      </c>
      <c r="E1619" s="1" t="s">
        <v>22</v>
      </c>
    </row>
    <row r="1620" spans="1:5" x14ac:dyDescent="0.55000000000000004">
      <c r="A1620" s="1" t="s">
        <v>2570</v>
      </c>
      <c r="B1620" s="1" t="s">
        <v>2571</v>
      </c>
      <c r="C1620" s="1" t="str">
        <f>"伊勢市上野町2855-1"</f>
        <v>伊勢市上野町2855-1</v>
      </c>
      <c r="D1620" s="1" t="str">
        <f>"0596-39-8088  "</f>
        <v xml:space="preserve">0596-39-8088  </v>
      </c>
      <c r="E1620" s="1" t="s">
        <v>131</v>
      </c>
    </row>
    <row r="1621" spans="1:5" x14ac:dyDescent="0.55000000000000004">
      <c r="A1621" s="1" t="s">
        <v>234</v>
      </c>
      <c r="B1621" s="1" t="s">
        <v>235</v>
      </c>
      <c r="C1621" s="1" t="s">
        <v>236</v>
      </c>
      <c r="D1621" s="1" t="str">
        <f>"0596-64-8677  "</f>
        <v xml:space="preserve">0596-64-8677  </v>
      </c>
      <c r="E1621" s="1" t="s">
        <v>233</v>
      </c>
    </row>
    <row r="1622" spans="1:5" x14ac:dyDescent="0.55000000000000004">
      <c r="A1622" s="1" t="s">
        <v>342</v>
      </c>
      <c r="B1622" s="1" t="s">
        <v>343</v>
      </c>
      <c r="C1622" s="1" t="str">
        <f>"伊勢市吹上1丁目5-6"</f>
        <v>伊勢市吹上1丁目5-6</v>
      </c>
      <c r="D1622" s="1" t="str">
        <f>"0596-28-3265  "</f>
        <v xml:space="preserve">0596-28-3265  </v>
      </c>
      <c r="E1622" s="1" t="s">
        <v>34</v>
      </c>
    </row>
    <row r="1623" spans="1:5" x14ac:dyDescent="0.55000000000000004">
      <c r="A1623" s="1" t="s">
        <v>616</v>
      </c>
      <c r="B1623" s="1" t="s">
        <v>617</v>
      </c>
      <c r="C1623" s="1" t="str">
        <f>"伊勢市小木町470-1"</f>
        <v>伊勢市小木町470-1</v>
      </c>
      <c r="D1623" s="1" t="str">
        <f>"0596-31-3000  "</f>
        <v xml:space="preserve">0596-31-3000  </v>
      </c>
      <c r="E1623" s="1" t="s">
        <v>34</v>
      </c>
    </row>
    <row r="1624" spans="1:5" x14ac:dyDescent="0.55000000000000004">
      <c r="A1624" s="1" t="s">
        <v>305</v>
      </c>
      <c r="B1624" s="1" t="s">
        <v>306</v>
      </c>
      <c r="C1624" s="1" t="str">
        <f>"伊勢市岡本2丁目1-40"</f>
        <v>伊勢市岡本2丁目1-40</v>
      </c>
      <c r="D1624" s="1" t="str">
        <f>"0596-23-1212  "</f>
        <v xml:space="preserve">0596-23-1212  </v>
      </c>
      <c r="E1624" s="1" t="s">
        <v>14</v>
      </c>
    </row>
    <row r="1625" spans="1:5" x14ac:dyDescent="0.55000000000000004">
      <c r="A1625" s="1" t="s">
        <v>2405</v>
      </c>
      <c r="B1625" s="1" t="s">
        <v>809</v>
      </c>
      <c r="C1625" s="1" t="s">
        <v>810</v>
      </c>
      <c r="D1625" s="1" t="str">
        <f t="shared" ref="D1625:D1653" si="62">"0596-23-5111  "</f>
        <v xml:space="preserve">0596-23-5111  </v>
      </c>
      <c r="E1625" s="1" t="s">
        <v>277</v>
      </c>
    </row>
    <row r="1626" spans="1:5" x14ac:dyDescent="0.55000000000000004">
      <c r="A1626" s="1" t="s">
        <v>2423</v>
      </c>
      <c r="B1626" s="1" t="s">
        <v>809</v>
      </c>
      <c r="C1626" s="1" t="s">
        <v>810</v>
      </c>
      <c r="D1626" s="1" t="str">
        <f t="shared" si="62"/>
        <v xml:space="preserve">0596-23-5111  </v>
      </c>
      <c r="E1626" s="1" t="s">
        <v>62</v>
      </c>
    </row>
    <row r="1627" spans="1:5" x14ac:dyDescent="0.55000000000000004">
      <c r="A1627" s="1" t="s">
        <v>2430</v>
      </c>
      <c r="B1627" s="1" t="s">
        <v>809</v>
      </c>
      <c r="C1627" s="1" t="s">
        <v>810</v>
      </c>
      <c r="D1627" s="1" t="str">
        <f t="shared" si="62"/>
        <v xml:space="preserve">0596-23-5111  </v>
      </c>
      <c r="E1627" s="1" t="s">
        <v>2407</v>
      </c>
    </row>
    <row r="1628" spans="1:5" x14ac:dyDescent="0.55000000000000004">
      <c r="A1628" s="1" t="s">
        <v>2444</v>
      </c>
      <c r="B1628" s="1" t="s">
        <v>809</v>
      </c>
      <c r="C1628" s="1" t="s">
        <v>810</v>
      </c>
      <c r="D1628" s="1" t="str">
        <f t="shared" si="62"/>
        <v xml:space="preserve">0596-23-5111  </v>
      </c>
      <c r="E1628" s="1" t="s">
        <v>6</v>
      </c>
    </row>
    <row r="1629" spans="1:5" x14ac:dyDescent="0.55000000000000004">
      <c r="A1629" s="1" t="s">
        <v>2111</v>
      </c>
      <c r="B1629" s="1" t="s">
        <v>809</v>
      </c>
      <c r="C1629" s="1" t="s">
        <v>810</v>
      </c>
      <c r="D1629" s="1" t="str">
        <f t="shared" si="62"/>
        <v xml:space="preserve">0596-23-5111  </v>
      </c>
      <c r="E1629" s="1" t="s">
        <v>81</v>
      </c>
    </row>
    <row r="1630" spans="1:5" x14ac:dyDescent="0.55000000000000004">
      <c r="A1630" s="1" t="s">
        <v>2568</v>
      </c>
      <c r="B1630" s="1" t="s">
        <v>809</v>
      </c>
      <c r="C1630" s="1" t="s">
        <v>810</v>
      </c>
      <c r="D1630" s="1" t="str">
        <f t="shared" si="62"/>
        <v xml:space="preserve">0596-23-5111  </v>
      </c>
      <c r="E1630" s="1" t="s">
        <v>952</v>
      </c>
    </row>
    <row r="1631" spans="1:5" x14ac:dyDescent="0.55000000000000004">
      <c r="A1631" s="1" t="s">
        <v>2569</v>
      </c>
      <c r="B1631" s="1" t="s">
        <v>809</v>
      </c>
      <c r="C1631" s="1" t="s">
        <v>810</v>
      </c>
      <c r="D1631" s="1" t="str">
        <f t="shared" si="62"/>
        <v xml:space="preserve">0596-23-5111  </v>
      </c>
      <c r="E1631" s="1" t="s">
        <v>6</v>
      </c>
    </row>
    <row r="1632" spans="1:5" x14ac:dyDescent="0.55000000000000004">
      <c r="A1632" s="1" t="s">
        <v>808</v>
      </c>
      <c r="B1632" s="1" t="s">
        <v>809</v>
      </c>
      <c r="C1632" s="1" t="s">
        <v>810</v>
      </c>
      <c r="D1632" s="1" t="str">
        <f t="shared" si="62"/>
        <v xml:space="preserve">0596-23-5111  </v>
      </c>
      <c r="E1632" s="1" t="s">
        <v>34</v>
      </c>
    </row>
    <row r="1633" spans="1:5" x14ac:dyDescent="0.55000000000000004">
      <c r="A1633" s="1" t="s">
        <v>811</v>
      </c>
      <c r="B1633" s="1" t="s">
        <v>809</v>
      </c>
      <c r="C1633" s="1" t="s">
        <v>810</v>
      </c>
      <c r="D1633" s="1" t="str">
        <f t="shared" si="62"/>
        <v xml:space="preserve">0596-23-5111  </v>
      </c>
      <c r="E1633" s="1" t="s">
        <v>34</v>
      </c>
    </row>
    <row r="1634" spans="1:5" x14ac:dyDescent="0.55000000000000004">
      <c r="A1634" s="1" t="s">
        <v>812</v>
      </c>
      <c r="B1634" s="1" t="s">
        <v>809</v>
      </c>
      <c r="C1634" s="1" t="s">
        <v>810</v>
      </c>
      <c r="D1634" s="1" t="str">
        <f t="shared" si="62"/>
        <v xml:space="preserve">0596-23-5111  </v>
      </c>
      <c r="E1634" s="1" t="s">
        <v>216</v>
      </c>
    </row>
    <row r="1635" spans="1:5" x14ac:dyDescent="0.55000000000000004">
      <c r="A1635" s="1" t="s">
        <v>813</v>
      </c>
      <c r="B1635" s="1" t="s">
        <v>809</v>
      </c>
      <c r="C1635" s="1" t="s">
        <v>810</v>
      </c>
      <c r="D1635" s="1" t="str">
        <f t="shared" si="62"/>
        <v xml:space="preserve">0596-23-5111  </v>
      </c>
      <c r="E1635" s="1" t="s">
        <v>216</v>
      </c>
    </row>
    <row r="1636" spans="1:5" x14ac:dyDescent="0.55000000000000004">
      <c r="A1636" s="1" t="s">
        <v>814</v>
      </c>
      <c r="B1636" s="1" t="s">
        <v>809</v>
      </c>
      <c r="C1636" s="1" t="s">
        <v>810</v>
      </c>
      <c r="D1636" s="1" t="str">
        <f t="shared" si="62"/>
        <v xml:space="preserve">0596-23-5111  </v>
      </c>
      <c r="E1636" s="1" t="s">
        <v>10</v>
      </c>
    </row>
    <row r="1637" spans="1:5" x14ac:dyDescent="0.55000000000000004">
      <c r="A1637" s="1" t="s">
        <v>815</v>
      </c>
      <c r="B1637" s="1" t="s">
        <v>809</v>
      </c>
      <c r="C1637" s="1" t="s">
        <v>810</v>
      </c>
      <c r="D1637" s="1" t="str">
        <f t="shared" si="62"/>
        <v xml:space="preserve">0596-23-5111  </v>
      </c>
      <c r="E1637" s="1" t="s">
        <v>14</v>
      </c>
    </row>
    <row r="1638" spans="1:5" x14ac:dyDescent="0.55000000000000004">
      <c r="A1638" s="1" t="s">
        <v>816</v>
      </c>
      <c r="B1638" s="1" t="s">
        <v>809</v>
      </c>
      <c r="C1638" s="1" t="s">
        <v>810</v>
      </c>
      <c r="D1638" s="1" t="str">
        <f t="shared" si="62"/>
        <v xml:space="preserve">0596-23-5111  </v>
      </c>
      <c r="E1638" s="1" t="s">
        <v>14</v>
      </c>
    </row>
    <row r="1639" spans="1:5" x14ac:dyDescent="0.55000000000000004">
      <c r="A1639" s="1" t="s">
        <v>817</v>
      </c>
      <c r="B1639" s="1" t="s">
        <v>809</v>
      </c>
      <c r="C1639" s="1" t="s">
        <v>810</v>
      </c>
      <c r="D1639" s="1" t="str">
        <f t="shared" si="62"/>
        <v xml:space="preserve">0596-23-5111  </v>
      </c>
      <c r="E1639" s="1" t="s">
        <v>14</v>
      </c>
    </row>
    <row r="1640" spans="1:5" x14ac:dyDescent="0.55000000000000004">
      <c r="A1640" s="1" t="s">
        <v>818</v>
      </c>
      <c r="B1640" s="1" t="s">
        <v>809</v>
      </c>
      <c r="C1640" s="1" t="s">
        <v>810</v>
      </c>
      <c r="D1640" s="1" t="str">
        <f t="shared" si="62"/>
        <v xml:space="preserve">0596-23-5111  </v>
      </c>
      <c r="E1640" s="1" t="s">
        <v>46</v>
      </c>
    </row>
    <row r="1641" spans="1:5" x14ac:dyDescent="0.55000000000000004">
      <c r="A1641" s="1" t="s">
        <v>819</v>
      </c>
      <c r="B1641" s="1" t="s">
        <v>809</v>
      </c>
      <c r="C1641" s="1" t="s">
        <v>810</v>
      </c>
      <c r="D1641" s="1" t="str">
        <f t="shared" si="62"/>
        <v xml:space="preserve">0596-23-5111  </v>
      </c>
      <c r="E1641" s="1" t="s">
        <v>46</v>
      </c>
    </row>
    <row r="1642" spans="1:5" x14ac:dyDescent="0.55000000000000004">
      <c r="A1642" s="1" t="s">
        <v>820</v>
      </c>
      <c r="B1642" s="1" t="s">
        <v>809</v>
      </c>
      <c r="C1642" s="1" t="s">
        <v>810</v>
      </c>
      <c r="D1642" s="1" t="str">
        <f t="shared" si="62"/>
        <v xml:space="preserve">0596-23-5111  </v>
      </c>
      <c r="E1642" s="1" t="s">
        <v>46</v>
      </c>
    </row>
    <row r="1643" spans="1:5" x14ac:dyDescent="0.55000000000000004">
      <c r="A1643" s="1" t="s">
        <v>821</v>
      </c>
      <c r="B1643" s="1" t="s">
        <v>809</v>
      </c>
      <c r="C1643" s="1" t="s">
        <v>810</v>
      </c>
      <c r="D1643" s="1" t="str">
        <f t="shared" si="62"/>
        <v xml:space="preserve">0596-23-5111  </v>
      </c>
      <c r="E1643" s="1" t="s">
        <v>131</v>
      </c>
    </row>
    <row r="1644" spans="1:5" x14ac:dyDescent="0.55000000000000004">
      <c r="A1644" s="1" t="s">
        <v>822</v>
      </c>
      <c r="B1644" s="1" t="s">
        <v>809</v>
      </c>
      <c r="C1644" s="1" t="s">
        <v>810</v>
      </c>
      <c r="D1644" s="1" t="str">
        <f t="shared" si="62"/>
        <v xml:space="preserve">0596-23-5111  </v>
      </c>
      <c r="E1644" s="1" t="s">
        <v>81</v>
      </c>
    </row>
    <row r="1645" spans="1:5" x14ac:dyDescent="0.55000000000000004">
      <c r="A1645" s="1" t="s">
        <v>823</v>
      </c>
      <c r="B1645" s="1" t="s">
        <v>809</v>
      </c>
      <c r="C1645" s="1" t="s">
        <v>810</v>
      </c>
      <c r="D1645" s="1" t="str">
        <f t="shared" si="62"/>
        <v xml:space="preserve">0596-23-5111  </v>
      </c>
      <c r="E1645" s="1" t="s">
        <v>6</v>
      </c>
    </row>
    <row r="1646" spans="1:5" x14ac:dyDescent="0.55000000000000004">
      <c r="A1646" s="1" t="s">
        <v>1049</v>
      </c>
      <c r="B1646" s="1" t="s">
        <v>809</v>
      </c>
      <c r="C1646" s="1" t="s">
        <v>810</v>
      </c>
      <c r="D1646" s="1" t="str">
        <f t="shared" si="62"/>
        <v xml:space="preserve">0596-23-5111  </v>
      </c>
      <c r="E1646" s="1" t="s">
        <v>6</v>
      </c>
    </row>
    <row r="1647" spans="1:5" x14ac:dyDescent="0.55000000000000004">
      <c r="A1647" s="1" t="s">
        <v>2820</v>
      </c>
      <c r="B1647" s="1" t="s">
        <v>809</v>
      </c>
      <c r="C1647" s="1" t="s">
        <v>810</v>
      </c>
      <c r="D1647" s="1" t="str">
        <f t="shared" si="62"/>
        <v xml:space="preserve">0596-23-5111  </v>
      </c>
      <c r="E1647" s="1" t="s">
        <v>10</v>
      </c>
    </row>
    <row r="1648" spans="1:5" x14ac:dyDescent="0.55000000000000004">
      <c r="A1648" s="1" t="s">
        <v>2880</v>
      </c>
      <c r="B1648" s="1" t="s">
        <v>809</v>
      </c>
      <c r="C1648" s="1" t="s">
        <v>810</v>
      </c>
      <c r="D1648" s="1" t="str">
        <f t="shared" si="62"/>
        <v xml:space="preserve">0596-23-5111  </v>
      </c>
      <c r="E1648" s="1" t="s">
        <v>6</v>
      </c>
    </row>
    <row r="1649" spans="1:5" x14ac:dyDescent="0.55000000000000004">
      <c r="A1649" s="1" t="s">
        <v>2887</v>
      </c>
      <c r="B1649" s="1" t="s">
        <v>809</v>
      </c>
      <c r="C1649" s="1" t="s">
        <v>810</v>
      </c>
      <c r="D1649" s="1" t="str">
        <f t="shared" si="62"/>
        <v xml:space="preserve">0596-23-5111  </v>
      </c>
      <c r="E1649" s="1" t="s">
        <v>6</v>
      </c>
    </row>
    <row r="1650" spans="1:5" x14ac:dyDescent="0.55000000000000004">
      <c r="A1650" s="1" t="s">
        <v>1207</v>
      </c>
      <c r="B1650" s="1" t="s">
        <v>809</v>
      </c>
      <c r="C1650" s="1" t="s">
        <v>810</v>
      </c>
      <c r="D1650" s="1" t="str">
        <f t="shared" si="62"/>
        <v xml:space="preserve">0596-23-5111  </v>
      </c>
      <c r="E1650" s="1" t="s">
        <v>22</v>
      </c>
    </row>
    <row r="1651" spans="1:5" x14ac:dyDescent="0.55000000000000004">
      <c r="A1651" s="1" t="s">
        <v>1508</v>
      </c>
      <c r="B1651" s="1" t="s">
        <v>809</v>
      </c>
      <c r="C1651" s="1" t="s">
        <v>810</v>
      </c>
      <c r="D1651" s="1" t="str">
        <f t="shared" si="62"/>
        <v xml:space="preserve">0596-23-5111  </v>
      </c>
      <c r="E1651" s="1" t="s">
        <v>6</v>
      </c>
    </row>
    <row r="1652" spans="1:5" x14ac:dyDescent="0.55000000000000004">
      <c r="A1652" s="1" t="s">
        <v>2642</v>
      </c>
      <c r="B1652" s="1" t="s">
        <v>809</v>
      </c>
      <c r="C1652" s="1" t="s">
        <v>810</v>
      </c>
      <c r="D1652" s="1" t="str">
        <f t="shared" si="62"/>
        <v xml:space="preserve">0596-23-5111  </v>
      </c>
      <c r="E1652" s="1" t="s">
        <v>62</v>
      </c>
    </row>
    <row r="1653" spans="1:5" x14ac:dyDescent="0.55000000000000004">
      <c r="A1653" s="1" t="s">
        <v>1050</v>
      </c>
      <c r="B1653" s="1" t="s">
        <v>809</v>
      </c>
      <c r="C1653" s="1" t="s">
        <v>810</v>
      </c>
      <c r="D1653" s="1" t="str">
        <f t="shared" si="62"/>
        <v xml:space="preserve">0596-23-5111  </v>
      </c>
      <c r="E1653" s="1" t="s">
        <v>6</v>
      </c>
    </row>
    <row r="1654" spans="1:5" x14ac:dyDescent="0.55000000000000004">
      <c r="A1654" s="1" t="s">
        <v>461</v>
      </c>
      <c r="B1654" s="1" t="s">
        <v>462</v>
      </c>
      <c r="C1654" s="1" t="str">
        <f>"伊勢市小木町260-1"</f>
        <v>伊勢市小木町260-1</v>
      </c>
      <c r="D1654" s="1" t="str">
        <f>"0596-31-2000  "</f>
        <v xml:space="preserve">0596-31-2000  </v>
      </c>
      <c r="E1654" s="1" t="s">
        <v>463</v>
      </c>
    </row>
    <row r="1655" spans="1:5" x14ac:dyDescent="0.55000000000000004">
      <c r="A1655" s="1" t="s">
        <v>3039</v>
      </c>
      <c r="B1655" s="1" t="s">
        <v>3040</v>
      </c>
      <c r="C1655" s="1" t="s">
        <v>3041</v>
      </c>
      <c r="D1655" s="1" t="str">
        <f>"0596-21-0660  "</f>
        <v xml:space="preserve">0596-21-0660  </v>
      </c>
      <c r="E1655" s="1" t="s">
        <v>1330</v>
      </c>
    </row>
    <row r="1656" spans="1:5" x14ac:dyDescent="0.55000000000000004">
      <c r="A1656" s="1" t="s">
        <v>230</v>
      </c>
      <c r="B1656" s="1" t="s">
        <v>231</v>
      </c>
      <c r="C1656" s="1" t="s">
        <v>232</v>
      </c>
      <c r="D1656" s="1" t="str">
        <f>"0596-22-0100  "</f>
        <v xml:space="preserve">0596-22-0100  </v>
      </c>
      <c r="E1656" s="1" t="s">
        <v>233</v>
      </c>
    </row>
    <row r="1657" spans="1:5" x14ac:dyDescent="0.55000000000000004">
      <c r="A1657" s="1" t="s">
        <v>620</v>
      </c>
      <c r="B1657" s="1" t="s">
        <v>621</v>
      </c>
      <c r="C1657" s="1" t="str">
        <f>"伊勢市一之木2-11-18"</f>
        <v>伊勢市一之木2-11-18</v>
      </c>
      <c r="D1657" s="1" t="str">
        <f>"0596-21-2480  "</f>
        <v xml:space="preserve">0596-21-2480  </v>
      </c>
      <c r="E1657" s="1" t="s">
        <v>233</v>
      </c>
    </row>
    <row r="1658" spans="1:5" x14ac:dyDescent="0.55000000000000004">
      <c r="A1658" s="1" t="s">
        <v>2729</v>
      </c>
      <c r="B1658" s="1" t="s">
        <v>2730</v>
      </c>
      <c r="C1658" s="1" t="str">
        <f>"伊勢市河崎2-17-11"</f>
        <v>伊勢市河崎2-17-11</v>
      </c>
      <c r="D1658" s="1" t="str">
        <f>"0596-28-5902  "</f>
        <v xml:space="preserve">0596-28-5902  </v>
      </c>
      <c r="E1658" s="1" t="s">
        <v>6</v>
      </c>
    </row>
    <row r="1659" spans="1:5" x14ac:dyDescent="0.55000000000000004">
      <c r="A1659" s="1" t="s">
        <v>2217</v>
      </c>
      <c r="B1659" s="1" t="s">
        <v>329</v>
      </c>
      <c r="C1659" s="1" t="str">
        <f>"伊勢市船江3-6-18"</f>
        <v>伊勢市船江3-6-18</v>
      </c>
      <c r="D1659" s="1" t="str">
        <f>"0596-22-0808  "</f>
        <v xml:space="preserve">0596-22-0808  </v>
      </c>
      <c r="E1659" s="1" t="s">
        <v>2218</v>
      </c>
    </row>
    <row r="1660" spans="1:5" x14ac:dyDescent="0.55000000000000004">
      <c r="A1660" s="1" t="s">
        <v>2884</v>
      </c>
      <c r="B1660" s="1" t="s">
        <v>2885</v>
      </c>
      <c r="C1660" s="1" t="s">
        <v>2886</v>
      </c>
      <c r="D1660" s="1" t="str">
        <f>"0596-26-0303  "</f>
        <v xml:space="preserve">0596-26-0303  </v>
      </c>
      <c r="E1660" s="1" t="s">
        <v>34</v>
      </c>
    </row>
    <row r="1661" spans="1:5" x14ac:dyDescent="0.55000000000000004">
      <c r="A1661" s="1" t="s">
        <v>1673</v>
      </c>
      <c r="B1661" s="1" t="s">
        <v>1674</v>
      </c>
      <c r="C1661" s="1" t="s">
        <v>1675</v>
      </c>
      <c r="D1661" s="1" t="str">
        <f>"0596-22-4309  "</f>
        <v xml:space="preserve">0596-22-4309  </v>
      </c>
      <c r="E1661" s="1" t="s">
        <v>1676</v>
      </c>
    </row>
    <row r="1662" spans="1:5" x14ac:dyDescent="0.55000000000000004">
      <c r="A1662" s="1" t="s">
        <v>255</v>
      </c>
      <c r="B1662" s="1" t="s">
        <v>256</v>
      </c>
      <c r="C1662" s="1" t="str">
        <f>"伊勢市楠部町乙139-2"</f>
        <v>伊勢市楠部町乙139-2</v>
      </c>
      <c r="D1662" s="1" t="str">
        <f>"0596-26-2001  "</f>
        <v xml:space="preserve">0596-26-2001  </v>
      </c>
      <c r="E1662" s="1" t="s">
        <v>14</v>
      </c>
    </row>
    <row r="1663" spans="1:5" x14ac:dyDescent="0.55000000000000004">
      <c r="A1663" s="1" t="s">
        <v>213</v>
      </c>
      <c r="B1663" s="1" t="s">
        <v>214</v>
      </c>
      <c r="C1663" s="1" t="str">
        <f>"伊勢市岩渕2-7-12"</f>
        <v>伊勢市岩渕2-7-12</v>
      </c>
      <c r="D1663" s="1" t="str">
        <f>"0596-27-1187  "</f>
        <v xml:space="preserve">0596-27-1187  </v>
      </c>
      <c r="E1663" s="1" t="s">
        <v>153</v>
      </c>
    </row>
    <row r="1664" spans="1:5" x14ac:dyDescent="0.55000000000000004">
      <c r="A1664" s="1" t="s">
        <v>1911</v>
      </c>
      <c r="B1664" s="1" t="s">
        <v>1912</v>
      </c>
      <c r="C1664" s="1" t="str">
        <f>"伊勢市楠部町202-30"</f>
        <v>伊勢市楠部町202-30</v>
      </c>
      <c r="D1664" s="1" t="str">
        <f>"0596-20-3387  "</f>
        <v xml:space="preserve">0596-20-3387  </v>
      </c>
      <c r="E1664" s="1" t="s">
        <v>1754</v>
      </c>
    </row>
    <row r="1665" spans="1:5" x14ac:dyDescent="0.55000000000000004">
      <c r="A1665" s="1" t="s">
        <v>1061</v>
      </c>
      <c r="B1665" s="1" t="s">
        <v>1062</v>
      </c>
      <c r="C1665" s="1" t="s">
        <v>1063</v>
      </c>
      <c r="D1665" s="1" t="str">
        <f>"0596-28-3931  "</f>
        <v xml:space="preserve">0596-28-3931  </v>
      </c>
      <c r="E1665" s="1" t="s">
        <v>7</v>
      </c>
    </row>
    <row r="1666" spans="1:5" x14ac:dyDescent="0.55000000000000004">
      <c r="A1666" s="1" t="s">
        <v>529</v>
      </c>
      <c r="B1666" s="1" t="s">
        <v>530</v>
      </c>
      <c r="C1666" s="1" t="str">
        <f>"度会郡玉城町玉川286-1"</f>
        <v>度会郡玉城町玉川286-1</v>
      </c>
      <c r="D1666" s="1" t="str">
        <f>"0596-58-1525  "</f>
        <v xml:space="preserve">0596-58-1525  </v>
      </c>
      <c r="E1666" s="1" t="s">
        <v>284</v>
      </c>
    </row>
    <row r="1667" spans="1:5" x14ac:dyDescent="0.55000000000000004">
      <c r="A1667" s="1" t="s">
        <v>196</v>
      </c>
      <c r="B1667" s="1" t="s">
        <v>197</v>
      </c>
      <c r="C1667" s="1" t="str">
        <f>"度会郡玉城町下田辺725-15"</f>
        <v>度会郡玉城町下田辺725-15</v>
      </c>
      <c r="D1667" s="1" t="str">
        <f>"0596-58-6300  "</f>
        <v xml:space="preserve">0596-58-6300  </v>
      </c>
      <c r="E1667" s="1" t="s">
        <v>135</v>
      </c>
    </row>
    <row r="1668" spans="1:5" x14ac:dyDescent="0.55000000000000004">
      <c r="A1668" s="1" t="s">
        <v>1176</v>
      </c>
      <c r="B1668" s="1" t="s">
        <v>1177</v>
      </c>
      <c r="C1668" s="1" t="s">
        <v>1690</v>
      </c>
      <c r="D1668" s="1" t="str">
        <f>"0596-58-3120  "</f>
        <v xml:space="preserve">0596-58-3120  </v>
      </c>
      <c r="E1668" s="1" t="s">
        <v>34</v>
      </c>
    </row>
    <row r="1669" spans="1:5" x14ac:dyDescent="0.55000000000000004">
      <c r="A1669" s="1" t="s">
        <v>1689</v>
      </c>
      <c r="B1669" s="1" t="s">
        <v>1177</v>
      </c>
      <c r="C1669" s="1" t="s">
        <v>1690</v>
      </c>
      <c r="D1669" s="1" t="str">
        <f>"0596-58-3120  "</f>
        <v xml:space="preserve">0596-58-3120  </v>
      </c>
      <c r="E1669" s="1" t="s">
        <v>1437</v>
      </c>
    </row>
    <row r="1670" spans="1:5" x14ac:dyDescent="0.55000000000000004">
      <c r="A1670" s="1" t="s">
        <v>2994</v>
      </c>
      <c r="B1670" s="1" t="s">
        <v>2954</v>
      </c>
      <c r="C1670" s="1" t="s">
        <v>3072</v>
      </c>
      <c r="D1670" s="1" t="str">
        <f>"0596-58-3039  "</f>
        <v xml:space="preserve">0596-58-3039  </v>
      </c>
      <c r="E1670" s="1" t="s">
        <v>14</v>
      </c>
    </row>
    <row r="1671" spans="1:5" x14ac:dyDescent="0.55000000000000004">
      <c r="A1671" s="1" t="s">
        <v>1136</v>
      </c>
      <c r="B1671" s="1" t="s">
        <v>77</v>
      </c>
      <c r="C1671" s="1" t="s">
        <v>1137</v>
      </c>
      <c r="D1671" s="1" t="str">
        <f>"0596-58-3039  "</f>
        <v xml:space="preserve">0596-58-3039  </v>
      </c>
      <c r="E1671" s="1" t="s">
        <v>23</v>
      </c>
    </row>
    <row r="1672" spans="1:5" x14ac:dyDescent="0.55000000000000004">
      <c r="A1672" s="1" t="s">
        <v>886</v>
      </c>
      <c r="B1672" s="1" t="s">
        <v>887</v>
      </c>
      <c r="C1672" s="1" t="s">
        <v>888</v>
      </c>
      <c r="D1672" s="1" t="str">
        <f>"0599-67-0070  "</f>
        <v xml:space="preserve">0599-67-0070  </v>
      </c>
      <c r="E1672" s="1" t="s">
        <v>889</v>
      </c>
    </row>
    <row r="1673" spans="1:5" x14ac:dyDescent="0.55000000000000004">
      <c r="A1673" s="1" t="s">
        <v>2821</v>
      </c>
      <c r="B1673" s="1" t="s">
        <v>2822</v>
      </c>
      <c r="C1673" s="1" t="s">
        <v>2823</v>
      </c>
      <c r="D1673" s="1" t="str">
        <f>"0599-69-2015  "</f>
        <v xml:space="preserve">0599-69-2015  </v>
      </c>
      <c r="E1673" s="1" t="s">
        <v>6</v>
      </c>
    </row>
    <row r="1674" spans="1:5" x14ac:dyDescent="0.55000000000000004">
      <c r="A1674" s="1" t="s">
        <v>2713</v>
      </c>
      <c r="B1674" s="1" t="s">
        <v>2714</v>
      </c>
      <c r="C1674" s="1" t="str">
        <f>"度会郡南伊勢町村山1118-6"</f>
        <v>度会郡南伊勢町村山1118-6</v>
      </c>
      <c r="D1674" s="1" t="str">
        <f>"0596-76-2000  "</f>
        <v xml:space="preserve">0596-76-2000  </v>
      </c>
      <c r="E1674" s="1" t="s">
        <v>2715</v>
      </c>
    </row>
    <row r="1675" spans="1:5" x14ac:dyDescent="0.55000000000000004">
      <c r="A1675" s="1" t="s">
        <v>2369</v>
      </c>
      <c r="B1675" s="1" t="s">
        <v>607</v>
      </c>
      <c r="C1675" s="1" t="s">
        <v>608</v>
      </c>
      <c r="D1675" s="1" t="str">
        <f t="shared" ref="D1675:D1680" si="63">"0599-66-0011  "</f>
        <v xml:space="preserve">0599-66-0011  </v>
      </c>
      <c r="E1675" s="1" t="s">
        <v>6</v>
      </c>
    </row>
    <row r="1676" spans="1:5" x14ac:dyDescent="0.55000000000000004">
      <c r="A1676" s="1" t="s">
        <v>606</v>
      </c>
      <c r="B1676" s="1" t="s">
        <v>607</v>
      </c>
      <c r="C1676" s="1" t="s">
        <v>608</v>
      </c>
      <c r="D1676" s="1" t="str">
        <f t="shared" si="63"/>
        <v xml:space="preserve">0599-66-0011  </v>
      </c>
      <c r="E1676" s="1" t="s">
        <v>6</v>
      </c>
    </row>
    <row r="1677" spans="1:5" x14ac:dyDescent="0.55000000000000004">
      <c r="A1677" s="1" t="s">
        <v>894</v>
      </c>
      <c r="B1677" s="1" t="s">
        <v>607</v>
      </c>
      <c r="C1677" s="1" t="s">
        <v>608</v>
      </c>
      <c r="D1677" s="1" t="str">
        <f t="shared" si="63"/>
        <v xml:space="preserve">0599-66-0011  </v>
      </c>
      <c r="E1677" s="1" t="s">
        <v>131</v>
      </c>
    </row>
    <row r="1678" spans="1:5" x14ac:dyDescent="0.55000000000000004">
      <c r="A1678" s="1" t="s">
        <v>895</v>
      </c>
      <c r="B1678" s="1" t="s">
        <v>607</v>
      </c>
      <c r="C1678" s="1" t="s">
        <v>608</v>
      </c>
      <c r="D1678" s="1" t="str">
        <f t="shared" si="63"/>
        <v xml:space="preserve">0599-66-0011  </v>
      </c>
      <c r="E1678" s="1" t="s">
        <v>6</v>
      </c>
    </row>
    <row r="1679" spans="1:5" x14ac:dyDescent="0.55000000000000004">
      <c r="A1679" s="1" t="s">
        <v>3060</v>
      </c>
      <c r="B1679" s="1" t="s">
        <v>607</v>
      </c>
      <c r="C1679" s="1" t="s">
        <v>608</v>
      </c>
      <c r="D1679" s="1" t="str">
        <f t="shared" si="63"/>
        <v xml:space="preserve">0599-66-0011  </v>
      </c>
      <c r="E1679" s="1" t="s">
        <v>6</v>
      </c>
    </row>
    <row r="1680" spans="1:5" x14ac:dyDescent="0.55000000000000004">
      <c r="A1680" s="1" t="s">
        <v>3062</v>
      </c>
      <c r="B1680" s="1" t="s">
        <v>607</v>
      </c>
      <c r="C1680" s="1" t="s">
        <v>608</v>
      </c>
      <c r="D1680" s="1" t="str">
        <f t="shared" si="63"/>
        <v xml:space="preserve">0599-66-0011  </v>
      </c>
      <c r="E1680" s="1" t="s">
        <v>6</v>
      </c>
    </row>
    <row r="1681" spans="1:5" x14ac:dyDescent="0.55000000000000004">
      <c r="A1681" s="1" t="s">
        <v>525</v>
      </c>
      <c r="B1681" s="1" t="s">
        <v>526</v>
      </c>
      <c r="C1681" s="1" t="s">
        <v>527</v>
      </c>
      <c r="D1681" s="1" t="str">
        <f>"0596-72-0001  "</f>
        <v xml:space="preserve">0596-72-0001  </v>
      </c>
      <c r="E1681" s="1" t="s">
        <v>528</v>
      </c>
    </row>
    <row r="1682" spans="1:5" x14ac:dyDescent="0.55000000000000004">
      <c r="A1682" s="1" t="s">
        <v>598</v>
      </c>
      <c r="B1682" s="1" t="s">
        <v>599</v>
      </c>
      <c r="C1682" s="1" t="str">
        <f>"鳥羽市大明西町3-20"</f>
        <v>鳥羽市大明西町3-20</v>
      </c>
      <c r="D1682" s="1" t="str">
        <f>"0599-25-1515  "</f>
        <v xml:space="preserve">0599-25-1515  </v>
      </c>
      <c r="E1682" s="1" t="s">
        <v>600</v>
      </c>
    </row>
    <row r="1683" spans="1:5" x14ac:dyDescent="0.55000000000000004">
      <c r="A1683" s="1" t="s">
        <v>458</v>
      </c>
      <c r="B1683" s="1" t="s">
        <v>459</v>
      </c>
      <c r="C1683" s="1" t="str">
        <f>"鳥羽市鳥羽4丁目13-7"</f>
        <v>鳥羽市鳥羽4丁目13-7</v>
      </c>
      <c r="D1683" s="1" t="str">
        <f>"0599-21-0707  "</f>
        <v xml:space="preserve">0599-21-0707  </v>
      </c>
      <c r="E1683" s="1" t="s">
        <v>460</v>
      </c>
    </row>
    <row r="1684" spans="1:5" x14ac:dyDescent="0.55000000000000004">
      <c r="A1684" s="1" t="s">
        <v>2573</v>
      </c>
      <c r="B1684" s="1" t="s">
        <v>459</v>
      </c>
      <c r="C1684" s="1" t="str">
        <f>"鳥羽市鳥羽4丁目13-7"</f>
        <v>鳥羽市鳥羽4丁目13-7</v>
      </c>
      <c r="D1684" s="1" t="str">
        <f>"0599-21-0707  "</f>
        <v xml:space="preserve">0599-21-0707  </v>
      </c>
      <c r="E1684" s="1" t="s">
        <v>6</v>
      </c>
    </row>
    <row r="1685" spans="1:5" x14ac:dyDescent="0.55000000000000004">
      <c r="A1685" s="1" t="s">
        <v>1764</v>
      </c>
      <c r="B1685" s="1" t="s">
        <v>2956</v>
      </c>
      <c r="C1685" s="1" t="str">
        <f>"鳥羽市大明東町2090-305"</f>
        <v>鳥羽市大明東町2090-305</v>
      </c>
      <c r="D1685" s="1" t="str">
        <f>"0599-21-0001  "</f>
        <v xml:space="preserve">0599-21-0001  </v>
      </c>
      <c r="E1685" s="1" t="s">
        <v>28</v>
      </c>
    </row>
    <row r="1686" spans="1:5" x14ac:dyDescent="0.55000000000000004">
      <c r="A1686" s="1" t="s">
        <v>937</v>
      </c>
      <c r="B1686" s="1" t="s">
        <v>938</v>
      </c>
      <c r="C1686" s="1" t="str">
        <f>"鳥羽市大明西町1-1　鳥羽ショッピングプラザハロー２階"</f>
        <v>鳥羽市大明西町1-1　鳥羽ショッピングプラザハロー２階</v>
      </c>
      <c r="D1686" s="1" t="str">
        <f>"0599-25-0020  "</f>
        <v xml:space="preserve">0599-25-0020  </v>
      </c>
      <c r="E1686" s="1" t="s">
        <v>30</v>
      </c>
    </row>
    <row r="1687" spans="1:5" x14ac:dyDescent="0.55000000000000004">
      <c r="A1687" s="1" t="s">
        <v>2424</v>
      </c>
      <c r="B1687" s="1" t="s">
        <v>2147</v>
      </c>
      <c r="C1687" s="1" t="str">
        <f>"鳥羽市相差町1028-1"</f>
        <v>鳥羽市相差町1028-1</v>
      </c>
      <c r="D1687" s="1" t="str">
        <f>"0599-33-6006  "</f>
        <v xml:space="preserve">0599-33-6006  </v>
      </c>
      <c r="E1687" s="1" t="s">
        <v>6</v>
      </c>
    </row>
    <row r="1688" spans="1:5" x14ac:dyDescent="0.55000000000000004">
      <c r="A1688" s="1" t="s">
        <v>1653</v>
      </c>
      <c r="B1688" s="1" t="s">
        <v>1654</v>
      </c>
      <c r="C1688" s="1" t="s">
        <v>1655</v>
      </c>
      <c r="D1688" s="1" t="str">
        <f>"0599-34-2149  "</f>
        <v xml:space="preserve">0599-34-2149  </v>
      </c>
      <c r="E1688" s="1" t="s">
        <v>6</v>
      </c>
    </row>
    <row r="1689" spans="1:5" x14ac:dyDescent="0.55000000000000004">
      <c r="A1689" s="1" t="s">
        <v>2503</v>
      </c>
      <c r="B1689" s="1" t="s">
        <v>26</v>
      </c>
      <c r="C1689" s="1" t="s">
        <v>2504</v>
      </c>
      <c r="D1689" s="1" t="str">
        <f>"0599-37-3051  "</f>
        <v xml:space="preserve">0599-37-3051  </v>
      </c>
      <c r="E1689" s="1" t="s">
        <v>6</v>
      </c>
    </row>
    <row r="1690" spans="1:5" x14ac:dyDescent="0.55000000000000004">
      <c r="A1690" s="1" t="s">
        <v>193</v>
      </c>
      <c r="B1690" s="1" t="s">
        <v>194</v>
      </c>
      <c r="C1690" s="1" t="str">
        <f>"志摩市阿児町鵜方2420-6"</f>
        <v>志摩市阿児町鵜方2420-6</v>
      </c>
      <c r="D1690" s="1" t="str">
        <f>"0599-52-0003  "</f>
        <v xml:space="preserve">0599-52-0003  </v>
      </c>
      <c r="E1690" s="1" t="s">
        <v>14</v>
      </c>
    </row>
    <row r="1691" spans="1:5" x14ac:dyDescent="0.55000000000000004">
      <c r="A1691" s="1" t="s">
        <v>661</v>
      </c>
      <c r="B1691" s="1" t="s">
        <v>662</v>
      </c>
      <c r="C1691" s="1" t="str">
        <f>"志摩市阿児町鵜方3016-24　三重ファミリービル2F"</f>
        <v>志摩市阿児町鵜方3016-24　三重ファミリービル2F</v>
      </c>
      <c r="D1691" s="1" t="str">
        <f>"0599-44-2828  "</f>
        <v xml:space="preserve">0599-44-2828  </v>
      </c>
      <c r="E1691" s="1" t="s">
        <v>663</v>
      </c>
    </row>
    <row r="1692" spans="1:5" x14ac:dyDescent="0.55000000000000004">
      <c r="A1692" s="1" t="s">
        <v>252</v>
      </c>
      <c r="B1692" s="1" t="s">
        <v>253</v>
      </c>
      <c r="C1692" s="1" t="str">
        <f>"志摩市阿児町鵜方3098-15"</f>
        <v>志摩市阿児町鵜方3098-15</v>
      </c>
      <c r="D1692" s="1" t="str">
        <f>"0599-46-0101  "</f>
        <v xml:space="preserve">0599-46-0101  </v>
      </c>
      <c r="E1692" s="1" t="s">
        <v>34</v>
      </c>
    </row>
    <row r="1693" spans="1:5" x14ac:dyDescent="0.55000000000000004">
      <c r="A1693" s="1" t="s">
        <v>425</v>
      </c>
      <c r="B1693" s="1" t="s">
        <v>426</v>
      </c>
      <c r="C1693" s="1" t="str">
        <f>"志摩市阿児町甲賀字鹿谷4128-1"</f>
        <v>志摩市阿児町甲賀字鹿谷4128-1</v>
      </c>
      <c r="D1693" s="1" t="str">
        <f>"0599-45-8011  "</f>
        <v xml:space="preserve">0599-45-8011  </v>
      </c>
      <c r="E1693" s="1" t="s">
        <v>6</v>
      </c>
    </row>
    <row r="1694" spans="1:5" x14ac:dyDescent="0.55000000000000004">
      <c r="A1694" s="1" t="s">
        <v>596</v>
      </c>
      <c r="B1694" s="1" t="s">
        <v>597</v>
      </c>
      <c r="C1694" s="1" t="str">
        <f>"志摩市阿児町鵜方3009-23"</f>
        <v>志摩市阿児町鵜方3009-23</v>
      </c>
      <c r="D1694" s="1" t="str">
        <f>"0599-46-1525  "</f>
        <v xml:space="preserve">0599-46-1525  </v>
      </c>
      <c r="E1694" s="1" t="s">
        <v>135</v>
      </c>
    </row>
    <row r="1695" spans="1:5" x14ac:dyDescent="0.55000000000000004">
      <c r="A1695" s="1" t="s">
        <v>368</v>
      </c>
      <c r="B1695" s="1" t="s">
        <v>369</v>
      </c>
      <c r="C1695" s="1" t="str">
        <f>"志摩市阿児町鵜方1206-4"</f>
        <v>志摩市阿児町鵜方1206-4</v>
      </c>
      <c r="D1695" s="1" t="str">
        <f>"0599-43-2491  "</f>
        <v xml:space="preserve">0599-43-2491  </v>
      </c>
      <c r="E1695" s="1" t="s">
        <v>6</v>
      </c>
    </row>
    <row r="1696" spans="1:5" x14ac:dyDescent="0.55000000000000004">
      <c r="A1696" s="1" t="s">
        <v>2206</v>
      </c>
      <c r="B1696" s="1" t="s">
        <v>2207</v>
      </c>
      <c r="C1696" s="1" t="s">
        <v>3096</v>
      </c>
      <c r="D1696" s="1" t="str">
        <f>"0599-55-0008  "</f>
        <v xml:space="preserve">0599-55-0008  </v>
      </c>
      <c r="E1696" s="1" t="s">
        <v>115</v>
      </c>
    </row>
    <row r="1697" spans="1:5" x14ac:dyDescent="0.55000000000000004">
      <c r="A1697" s="1" t="s">
        <v>1705</v>
      </c>
      <c r="B1697" s="1" t="s">
        <v>1706</v>
      </c>
      <c r="C1697" s="1" t="s">
        <v>1707</v>
      </c>
      <c r="D1697" s="1" t="str">
        <f>"0599-44-0007  "</f>
        <v xml:space="preserve">0599-44-0007  </v>
      </c>
      <c r="E1697" s="1" t="s">
        <v>1503</v>
      </c>
    </row>
    <row r="1698" spans="1:5" x14ac:dyDescent="0.55000000000000004">
      <c r="A1698" s="1" t="s">
        <v>2990</v>
      </c>
      <c r="B1698" s="1" t="s">
        <v>2735</v>
      </c>
      <c r="C1698" s="1" t="str">
        <f>"志摩市志摩町越賀1637-3"</f>
        <v>志摩市志摩町越賀1637-3</v>
      </c>
      <c r="D1698" s="1" t="str">
        <f>"0599-85-0276  "</f>
        <v xml:space="preserve">0599-85-0276  </v>
      </c>
      <c r="E1698" s="1" t="s">
        <v>6</v>
      </c>
    </row>
    <row r="1699" spans="1:5" x14ac:dyDescent="0.55000000000000004">
      <c r="A1699" s="1" t="s">
        <v>2015</v>
      </c>
      <c r="B1699" s="1" t="s">
        <v>2016</v>
      </c>
      <c r="C1699" s="1" t="str">
        <f>"志摩市阿児町鵜方3283-2"</f>
        <v>志摩市阿児町鵜方3283-2</v>
      </c>
      <c r="D1699" s="1" t="str">
        <f>"0599-43-8341  "</f>
        <v xml:space="preserve">0599-43-8341  </v>
      </c>
      <c r="E1699" s="1" t="s">
        <v>2017</v>
      </c>
    </row>
    <row r="1700" spans="1:5" x14ac:dyDescent="0.55000000000000004">
      <c r="A1700" s="1" t="s">
        <v>362</v>
      </c>
      <c r="B1700" s="1" t="s">
        <v>363</v>
      </c>
      <c r="C1700" s="1" t="str">
        <f>"志摩市阿児町鵜方3163-7"</f>
        <v>志摩市阿児町鵜方3163-7</v>
      </c>
      <c r="D1700" s="1" t="str">
        <f>"0599-43-1193  "</f>
        <v xml:space="preserve">0599-43-1193  </v>
      </c>
      <c r="E1700" s="1" t="s">
        <v>34</v>
      </c>
    </row>
    <row r="1701" spans="1:5" x14ac:dyDescent="0.55000000000000004">
      <c r="A1701" s="1" t="s">
        <v>2667</v>
      </c>
      <c r="B1701" s="1" t="s">
        <v>138</v>
      </c>
      <c r="C1701" s="1" t="s">
        <v>2668</v>
      </c>
      <c r="D1701" s="1" t="str">
        <f>"0599-72-5555  "</f>
        <v xml:space="preserve">0599-72-5555  </v>
      </c>
      <c r="E1701" s="1" t="s">
        <v>2248</v>
      </c>
    </row>
    <row r="1702" spans="1:5" x14ac:dyDescent="0.55000000000000004">
      <c r="A1702" s="1" t="s">
        <v>2685</v>
      </c>
      <c r="B1702" s="1" t="s">
        <v>138</v>
      </c>
      <c r="C1702" s="1" t="s">
        <v>2668</v>
      </c>
      <c r="D1702" s="1" t="str">
        <f>"0599-72-5555  "</f>
        <v xml:space="preserve">0599-72-5555  </v>
      </c>
      <c r="E1702" s="1" t="s">
        <v>2248</v>
      </c>
    </row>
    <row r="1703" spans="1:5" x14ac:dyDescent="0.55000000000000004">
      <c r="A1703" s="1" t="s">
        <v>2011</v>
      </c>
      <c r="B1703" s="1" t="s">
        <v>82</v>
      </c>
      <c r="C1703" s="1" t="s">
        <v>83</v>
      </c>
      <c r="D1703" s="1" t="str">
        <f t="shared" ref="D1703:D1709" si="64">"0599-43-0501  "</f>
        <v xml:space="preserve">0599-43-0501  </v>
      </c>
      <c r="E1703" s="1" t="s">
        <v>23</v>
      </c>
    </row>
    <row r="1704" spans="1:5" x14ac:dyDescent="0.55000000000000004">
      <c r="A1704" s="1" t="s">
        <v>2502</v>
      </c>
      <c r="B1704" s="1" t="s">
        <v>82</v>
      </c>
      <c r="C1704" s="1" t="s">
        <v>83</v>
      </c>
      <c r="D1704" s="1" t="str">
        <f t="shared" si="64"/>
        <v xml:space="preserve">0599-43-0501  </v>
      </c>
      <c r="E1704" s="1" t="s">
        <v>233</v>
      </c>
    </row>
    <row r="1705" spans="1:5" x14ac:dyDescent="0.55000000000000004">
      <c r="A1705" s="1" t="s">
        <v>1054</v>
      </c>
      <c r="B1705" s="1" t="s">
        <v>82</v>
      </c>
      <c r="C1705" s="1" t="s">
        <v>83</v>
      </c>
      <c r="D1705" s="1" t="str">
        <f t="shared" si="64"/>
        <v xml:space="preserve">0599-43-0501  </v>
      </c>
      <c r="E1705" s="1" t="s">
        <v>14</v>
      </c>
    </row>
    <row r="1706" spans="1:5" x14ac:dyDescent="0.55000000000000004">
      <c r="A1706" s="1" t="s">
        <v>1055</v>
      </c>
      <c r="B1706" s="1" t="s">
        <v>82</v>
      </c>
      <c r="C1706" s="1" t="s">
        <v>83</v>
      </c>
      <c r="D1706" s="1" t="str">
        <f t="shared" si="64"/>
        <v xml:space="preserve">0599-43-0501  </v>
      </c>
      <c r="E1706" s="1" t="s">
        <v>34</v>
      </c>
    </row>
    <row r="1707" spans="1:5" x14ac:dyDescent="0.55000000000000004">
      <c r="A1707" s="1" t="s">
        <v>1056</v>
      </c>
      <c r="B1707" s="1" t="s">
        <v>82</v>
      </c>
      <c r="C1707" s="1" t="s">
        <v>83</v>
      </c>
      <c r="D1707" s="1" t="str">
        <f t="shared" si="64"/>
        <v xml:space="preserve">0599-43-0501  </v>
      </c>
      <c r="E1707" s="1" t="s">
        <v>23</v>
      </c>
    </row>
    <row r="1708" spans="1:5" x14ac:dyDescent="0.55000000000000004">
      <c r="A1708" s="1" t="s">
        <v>1892</v>
      </c>
      <c r="B1708" s="1" t="s">
        <v>82</v>
      </c>
      <c r="C1708" s="1" t="s">
        <v>83</v>
      </c>
      <c r="D1708" s="1" t="str">
        <f t="shared" si="64"/>
        <v xml:space="preserve">0599-43-0501  </v>
      </c>
      <c r="E1708" s="1" t="s">
        <v>23</v>
      </c>
    </row>
    <row r="1709" spans="1:5" x14ac:dyDescent="0.55000000000000004">
      <c r="A1709" s="1" t="s">
        <v>2737</v>
      </c>
      <c r="B1709" s="1" t="s">
        <v>82</v>
      </c>
      <c r="C1709" s="1" t="s">
        <v>83</v>
      </c>
      <c r="D1709" s="1" t="str">
        <f t="shared" si="64"/>
        <v xml:space="preserve">0599-43-0501  </v>
      </c>
      <c r="E1709" s="1" t="s">
        <v>2738</v>
      </c>
    </row>
    <row r="1710" spans="1:5" x14ac:dyDescent="0.55000000000000004">
      <c r="A1710" s="1" t="s">
        <v>3027</v>
      </c>
      <c r="B1710" s="1" t="s">
        <v>2619</v>
      </c>
      <c r="C1710" s="1" t="s">
        <v>2620</v>
      </c>
      <c r="D1710" s="1" t="str">
        <f>"0599-84-1001  "</f>
        <v xml:space="preserve">0599-84-1001  </v>
      </c>
      <c r="E1710" s="1" t="s">
        <v>23</v>
      </c>
    </row>
    <row r="1711" spans="1:5" x14ac:dyDescent="0.55000000000000004">
      <c r="A1711" s="1" t="s">
        <v>2618</v>
      </c>
      <c r="B1711" s="1" t="s">
        <v>2619</v>
      </c>
      <c r="C1711" s="1" t="s">
        <v>2620</v>
      </c>
      <c r="D1711" s="1" t="str">
        <f>"0599-84-1001  "</f>
        <v xml:space="preserve">0599-84-1001  </v>
      </c>
      <c r="E1711" s="1" t="s">
        <v>6</v>
      </c>
    </row>
    <row r="1712" spans="1:5" x14ac:dyDescent="0.55000000000000004">
      <c r="A1712" s="1" t="s">
        <v>1829</v>
      </c>
      <c r="B1712" s="1" t="s">
        <v>1830</v>
      </c>
      <c r="C1712" s="1" t="s">
        <v>1831</v>
      </c>
      <c r="D1712" s="1" t="str">
        <f>"0599-85-0047  "</f>
        <v xml:space="preserve">0599-85-0047  </v>
      </c>
      <c r="E1712" s="1" t="s">
        <v>956</v>
      </c>
    </row>
    <row r="1713" spans="1:5" x14ac:dyDescent="0.55000000000000004">
      <c r="A1713" s="1" t="s">
        <v>534</v>
      </c>
      <c r="B1713" s="1" t="s">
        <v>8</v>
      </c>
      <c r="C1713" s="1" t="str">
        <f>"志摩市阿児町鵜方748-5"</f>
        <v>志摩市阿児町鵜方748-5</v>
      </c>
      <c r="D1713" s="1" t="str">
        <f>"0599-43-0010  "</f>
        <v xml:space="preserve">0599-43-0010  </v>
      </c>
      <c r="E1713" s="1" t="s">
        <v>135</v>
      </c>
    </row>
    <row r="1714" spans="1:5" x14ac:dyDescent="0.55000000000000004">
      <c r="A1714" s="1" t="s">
        <v>165</v>
      </c>
      <c r="B1714" s="1" t="s">
        <v>166</v>
      </c>
      <c r="C1714" s="1" t="s">
        <v>167</v>
      </c>
      <c r="D1714" s="1" t="str">
        <f>"0599-55-3111  "</f>
        <v xml:space="preserve">0599-55-3111  </v>
      </c>
      <c r="E1714" s="1" t="s">
        <v>34</v>
      </c>
    </row>
    <row r="1715" spans="1:5" x14ac:dyDescent="0.55000000000000004">
      <c r="A1715" s="1" t="s">
        <v>2780</v>
      </c>
      <c r="B1715" s="1" t="s">
        <v>2781</v>
      </c>
      <c r="C1715" s="1" t="str">
        <f>"志摩市志摩町和具1960-1"</f>
        <v>志摩市志摩町和具1960-1</v>
      </c>
      <c r="D1715" s="1" t="str">
        <f>"0599-85-0007  "</f>
        <v xml:space="preserve">0599-85-0007  </v>
      </c>
      <c r="E1715" s="1" t="s">
        <v>6</v>
      </c>
    </row>
    <row r="1716" spans="1:5" x14ac:dyDescent="0.55000000000000004">
      <c r="A1716" s="1" t="s">
        <v>335</v>
      </c>
      <c r="B1716" s="1" t="s">
        <v>336</v>
      </c>
      <c r="C1716" s="1" t="str">
        <f>"志摩市阿児町鵜方3126-15"</f>
        <v>志摩市阿児町鵜方3126-15</v>
      </c>
      <c r="D1716" s="1" t="str">
        <f>"0599-43-1033  "</f>
        <v xml:space="preserve">0599-43-1033  </v>
      </c>
      <c r="E1716" s="1" t="s">
        <v>337</v>
      </c>
    </row>
    <row r="1717" spans="1:5" x14ac:dyDescent="0.55000000000000004">
      <c r="A1717" s="1" t="s">
        <v>344</v>
      </c>
      <c r="B1717" s="1" t="s">
        <v>9</v>
      </c>
      <c r="C1717" s="1" t="str">
        <f>"志摩市浜島町南張7-1"</f>
        <v>志摩市浜島町南張7-1</v>
      </c>
      <c r="D1717" s="1" t="str">
        <f>"0599-53-1235  "</f>
        <v xml:space="preserve">0599-53-1235  </v>
      </c>
      <c r="E1717" s="1" t="s">
        <v>34</v>
      </c>
    </row>
    <row r="1718" spans="1:5" x14ac:dyDescent="0.55000000000000004">
      <c r="A1718" s="1" t="s">
        <v>3061</v>
      </c>
      <c r="B1718" s="1" t="s">
        <v>2627</v>
      </c>
      <c r="C1718" s="1" t="str">
        <f>"志摩市阿児町鵜方2555-9"</f>
        <v>志摩市阿児町鵜方2555-9</v>
      </c>
      <c r="D1718" s="1" t="str">
        <f>"0599-43-1511  "</f>
        <v xml:space="preserve">0599-43-1511  </v>
      </c>
      <c r="E1718" s="1" t="s">
        <v>1278</v>
      </c>
    </row>
    <row r="1719" spans="1:5" x14ac:dyDescent="0.55000000000000004">
      <c r="A1719" s="1" t="s">
        <v>142</v>
      </c>
      <c r="B1719" s="1" t="s">
        <v>2627</v>
      </c>
      <c r="C1719" s="1" t="str">
        <f>"志摩市阿児町鵜方2555-9"</f>
        <v>志摩市阿児町鵜方2555-9</v>
      </c>
      <c r="D1719" s="1" t="str">
        <f>"0599-43-1511  "</f>
        <v xml:space="preserve">0599-43-1511  </v>
      </c>
      <c r="E1719" s="1" t="s">
        <v>143</v>
      </c>
    </row>
    <row r="1720" spans="1:5" x14ac:dyDescent="0.55000000000000004">
      <c r="A1720" s="1" t="s">
        <v>2067</v>
      </c>
      <c r="B1720" s="1" t="s">
        <v>2068</v>
      </c>
      <c r="C1720" s="1" t="str">
        <f>"尾鷲市中川18-9"</f>
        <v>尾鷲市中川18-9</v>
      </c>
      <c r="D1720" s="1" t="str">
        <f>"090-1099-4182 "</f>
        <v xml:space="preserve">090-1099-4182 </v>
      </c>
      <c r="E1720" s="1" t="s">
        <v>2069</v>
      </c>
    </row>
    <row r="1721" spans="1:5" x14ac:dyDescent="0.55000000000000004">
      <c r="A1721" s="1" t="s">
        <v>2846</v>
      </c>
      <c r="B1721" s="1" t="s">
        <v>2847</v>
      </c>
      <c r="C1721" s="1" t="str">
        <f>"尾鷲市三木里町294-3"</f>
        <v>尾鷲市三木里町294-3</v>
      </c>
      <c r="D1721" s="1" t="str">
        <f>"0597-28-8000  "</f>
        <v xml:space="preserve">0597-28-8000  </v>
      </c>
      <c r="E1721" s="1" t="s">
        <v>2848</v>
      </c>
    </row>
    <row r="1722" spans="1:5" x14ac:dyDescent="0.55000000000000004">
      <c r="A1722" s="1" t="s">
        <v>160</v>
      </c>
      <c r="B1722" s="1" t="s">
        <v>161</v>
      </c>
      <c r="C1722" s="1" t="str">
        <f>"尾鷲市上野町4-26"</f>
        <v>尾鷲市上野町4-26</v>
      </c>
      <c r="D1722" s="1" t="str">
        <f>"0597-22-5611  "</f>
        <v xml:space="preserve">0597-22-5611  </v>
      </c>
      <c r="E1722" s="1" t="s">
        <v>34</v>
      </c>
    </row>
    <row r="1723" spans="1:5" x14ac:dyDescent="0.55000000000000004">
      <c r="A1723" s="1" t="s">
        <v>626</v>
      </c>
      <c r="B1723" s="1" t="s">
        <v>627</v>
      </c>
      <c r="C1723" s="1" t="str">
        <f>"尾鷲市九鬼町1080-1"</f>
        <v>尾鷲市九鬼町1080-1</v>
      </c>
      <c r="D1723" s="1" t="str">
        <f>"0597-29-2037  "</f>
        <v xml:space="preserve">0597-29-2037  </v>
      </c>
      <c r="E1723" s="1" t="s">
        <v>628</v>
      </c>
    </row>
    <row r="1724" spans="1:5" x14ac:dyDescent="0.55000000000000004">
      <c r="A1724" s="1" t="s">
        <v>182</v>
      </c>
      <c r="B1724" s="1" t="s">
        <v>183</v>
      </c>
      <c r="C1724" s="1" t="str">
        <f>"尾鷲市中央町10-24"</f>
        <v>尾鷲市中央町10-24</v>
      </c>
      <c r="D1724" s="1" t="str">
        <f>"0597-22-3773  "</f>
        <v xml:space="preserve">0597-22-3773  </v>
      </c>
      <c r="E1724" s="1" t="s">
        <v>23</v>
      </c>
    </row>
    <row r="1725" spans="1:5" x14ac:dyDescent="0.55000000000000004">
      <c r="A1725" s="1" t="s">
        <v>2896</v>
      </c>
      <c r="B1725" s="1" t="s">
        <v>2897</v>
      </c>
      <c r="C1725" s="1" t="str">
        <f>"尾鷲市中央町4-3"</f>
        <v>尾鷲市中央町4-3</v>
      </c>
      <c r="D1725" s="1" t="str">
        <f>"0597-25-3000  "</f>
        <v xml:space="preserve">0597-25-3000  </v>
      </c>
      <c r="E1725" s="1" t="s">
        <v>145</v>
      </c>
    </row>
    <row r="1726" spans="1:5" x14ac:dyDescent="0.55000000000000004">
      <c r="A1726" s="1" t="s">
        <v>2946</v>
      </c>
      <c r="B1726" s="1" t="s">
        <v>2947</v>
      </c>
      <c r="C1726" s="1" t="str">
        <f>"尾鷲市三木里町字木場967-8"</f>
        <v>尾鷲市三木里町字木場967-8</v>
      </c>
      <c r="D1726" s="1" t="str">
        <f>"0597-28-2102  "</f>
        <v xml:space="preserve">0597-28-2102  </v>
      </c>
      <c r="E1726" s="1" t="s">
        <v>6</v>
      </c>
    </row>
    <row r="1727" spans="1:5" x14ac:dyDescent="0.55000000000000004">
      <c r="A1727" s="1" t="s">
        <v>137</v>
      </c>
      <c r="B1727" s="1" t="s">
        <v>80</v>
      </c>
      <c r="C1727" s="1" t="str">
        <f t="shared" ref="C1727:C1734" si="65">"尾鷲市上野町5-25"</f>
        <v>尾鷲市上野町5-25</v>
      </c>
      <c r="D1727" s="1" t="str">
        <f t="shared" ref="D1727:D1734" si="66">"0597-22-3111  "</f>
        <v xml:space="preserve">0597-22-3111  </v>
      </c>
      <c r="E1727" s="1" t="s">
        <v>10</v>
      </c>
    </row>
    <row r="1728" spans="1:5" x14ac:dyDescent="0.55000000000000004">
      <c r="A1728" s="1" t="s">
        <v>2521</v>
      </c>
      <c r="B1728" s="1" t="s">
        <v>80</v>
      </c>
      <c r="C1728" s="1" t="str">
        <f t="shared" si="65"/>
        <v>尾鷲市上野町5-25</v>
      </c>
      <c r="D1728" s="1" t="str">
        <f t="shared" si="66"/>
        <v xml:space="preserve">0597-22-3111  </v>
      </c>
      <c r="E1728" s="1" t="s">
        <v>14</v>
      </c>
    </row>
    <row r="1729" spans="1:5" x14ac:dyDescent="0.55000000000000004">
      <c r="A1729" s="1" t="s">
        <v>1399</v>
      </c>
      <c r="B1729" s="1" t="s">
        <v>80</v>
      </c>
      <c r="C1729" s="1" t="str">
        <f t="shared" si="65"/>
        <v>尾鷲市上野町5-25</v>
      </c>
      <c r="D1729" s="1" t="str">
        <f t="shared" si="66"/>
        <v xml:space="preserve">0597-22-3111  </v>
      </c>
      <c r="E1729" s="1" t="s">
        <v>117</v>
      </c>
    </row>
    <row r="1730" spans="1:5" x14ac:dyDescent="0.55000000000000004">
      <c r="A1730" s="1" t="s">
        <v>1417</v>
      </c>
      <c r="B1730" s="1" t="s">
        <v>80</v>
      </c>
      <c r="C1730" s="1" t="str">
        <f t="shared" si="65"/>
        <v>尾鷲市上野町5-25</v>
      </c>
      <c r="D1730" s="1" t="str">
        <f t="shared" si="66"/>
        <v xml:space="preserve">0597-22-3111  </v>
      </c>
      <c r="E1730" s="1" t="s">
        <v>131</v>
      </c>
    </row>
    <row r="1731" spans="1:5" x14ac:dyDescent="0.55000000000000004">
      <c r="A1731" s="1" t="s">
        <v>1616</v>
      </c>
      <c r="B1731" s="1" t="s">
        <v>80</v>
      </c>
      <c r="C1731" s="1" t="str">
        <f t="shared" si="65"/>
        <v>尾鷲市上野町5-25</v>
      </c>
      <c r="D1731" s="1" t="str">
        <f t="shared" si="66"/>
        <v xml:space="preserve">0597-22-3111  </v>
      </c>
      <c r="E1731" s="1" t="s">
        <v>34</v>
      </c>
    </row>
    <row r="1732" spans="1:5" x14ac:dyDescent="0.55000000000000004">
      <c r="A1732" s="1" t="s">
        <v>1620</v>
      </c>
      <c r="B1732" s="1" t="s">
        <v>80</v>
      </c>
      <c r="C1732" s="1" t="str">
        <f t="shared" si="65"/>
        <v>尾鷲市上野町5-25</v>
      </c>
      <c r="D1732" s="1" t="str">
        <f t="shared" si="66"/>
        <v xml:space="preserve">0597-22-3111  </v>
      </c>
      <c r="E1732" s="1" t="s">
        <v>216</v>
      </c>
    </row>
    <row r="1733" spans="1:5" x14ac:dyDescent="0.55000000000000004">
      <c r="A1733" s="1" t="s">
        <v>2178</v>
      </c>
      <c r="B1733" s="1" t="s">
        <v>80</v>
      </c>
      <c r="C1733" s="1" t="str">
        <f t="shared" si="65"/>
        <v>尾鷲市上野町5-25</v>
      </c>
      <c r="D1733" s="1" t="str">
        <f t="shared" si="66"/>
        <v xml:space="preserve">0597-22-3111  </v>
      </c>
      <c r="E1733" s="1" t="s">
        <v>6</v>
      </c>
    </row>
    <row r="1734" spans="1:5" x14ac:dyDescent="0.55000000000000004">
      <c r="A1734" s="1" t="s">
        <v>2665</v>
      </c>
      <c r="B1734" s="1" t="s">
        <v>80</v>
      </c>
      <c r="C1734" s="1" t="str">
        <f t="shared" si="65"/>
        <v>尾鷲市上野町5-25</v>
      </c>
      <c r="D1734" s="1" t="str">
        <f t="shared" si="66"/>
        <v xml:space="preserve">0597-22-3111  </v>
      </c>
      <c r="E1734" s="1" t="s">
        <v>2666</v>
      </c>
    </row>
    <row r="1735" spans="1:5" x14ac:dyDescent="0.55000000000000004">
      <c r="A1735" s="1" t="s">
        <v>1557</v>
      </c>
      <c r="B1735" s="1" t="s">
        <v>1558</v>
      </c>
      <c r="C1735" s="1" t="str">
        <f>"尾鷲市中村町7-13"</f>
        <v>尾鷲市中村町7-13</v>
      </c>
      <c r="D1735" s="1" t="str">
        <f>"0597-25-0010  "</f>
        <v xml:space="preserve">0597-25-0010  </v>
      </c>
      <c r="E1735" s="1" t="s">
        <v>34</v>
      </c>
    </row>
    <row r="1736" spans="1:5" x14ac:dyDescent="0.55000000000000004">
      <c r="A1736" s="1" t="s">
        <v>2932</v>
      </c>
      <c r="B1736" s="1" t="s">
        <v>2933</v>
      </c>
      <c r="C1736" s="1" t="s">
        <v>3088</v>
      </c>
      <c r="D1736" s="1" t="str">
        <f>"0597-47-3341  "</f>
        <v xml:space="preserve">0597-47-3341  </v>
      </c>
      <c r="E1736" s="1" t="s">
        <v>135</v>
      </c>
    </row>
    <row r="1737" spans="1:5" x14ac:dyDescent="0.55000000000000004">
      <c r="A1737" s="1" t="s">
        <v>890</v>
      </c>
      <c r="B1737" s="1" t="s">
        <v>891</v>
      </c>
      <c r="C1737" s="1" t="s">
        <v>892</v>
      </c>
      <c r="D1737" s="1" t="str">
        <f>"0597-32-2266  "</f>
        <v xml:space="preserve">0597-32-2266  </v>
      </c>
      <c r="E1737" s="1" t="s">
        <v>893</v>
      </c>
    </row>
    <row r="1738" spans="1:5" x14ac:dyDescent="0.55000000000000004">
      <c r="A1738" s="1" t="s">
        <v>2881</v>
      </c>
      <c r="B1738" s="1" t="s">
        <v>2882</v>
      </c>
      <c r="C1738" s="1" t="str">
        <f>"北牟婁郡紀北町相賀1941-4"</f>
        <v>北牟婁郡紀北町相賀1941-4</v>
      </c>
      <c r="D1738" s="1" t="str">
        <f>"0597-32-1188  "</f>
        <v xml:space="preserve">0597-32-1188  </v>
      </c>
      <c r="E1738" s="1" t="s">
        <v>2883</v>
      </c>
    </row>
    <row r="1739" spans="1:5" x14ac:dyDescent="0.55000000000000004">
      <c r="A1739" s="1" t="s">
        <v>2758</v>
      </c>
      <c r="B1739" s="1" t="s">
        <v>544</v>
      </c>
      <c r="C1739" s="1" t="str">
        <f>"北牟婁郡紀北町相賀480-136"</f>
        <v>北牟婁郡紀北町相賀480-136</v>
      </c>
      <c r="D1739" s="1" t="str">
        <f>"0597-32-1666  "</f>
        <v xml:space="preserve">0597-32-1666  </v>
      </c>
      <c r="E1739" s="1" t="s">
        <v>6</v>
      </c>
    </row>
    <row r="1740" spans="1:5" x14ac:dyDescent="0.55000000000000004">
      <c r="A1740" s="1" t="s">
        <v>1986</v>
      </c>
      <c r="B1740" s="1" t="s">
        <v>1987</v>
      </c>
      <c r="C1740" s="1" t="str">
        <f>"北牟婁郡紀北町東長島200-21"</f>
        <v>北牟婁郡紀北町東長島200-21</v>
      </c>
      <c r="D1740" s="1" t="str">
        <f>"0597-47-4800  "</f>
        <v xml:space="preserve">0597-47-4800  </v>
      </c>
      <c r="E1740" s="1" t="s">
        <v>1988</v>
      </c>
    </row>
    <row r="1741" spans="1:5" x14ac:dyDescent="0.55000000000000004">
      <c r="A1741" s="1" t="s">
        <v>1438</v>
      </c>
      <c r="B1741" s="1" t="s">
        <v>1439</v>
      </c>
      <c r="C1741" s="1" t="s">
        <v>1440</v>
      </c>
      <c r="D1741" s="1" t="str">
        <f>"0597-47-1651  "</f>
        <v xml:space="preserve">0597-47-1651  </v>
      </c>
      <c r="E1741" s="1" t="s">
        <v>1274</v>
      </c>
    </row>
    <row r="1742" spans="1:5" x14ac:dyDescent="0.55000000000000004">
      <c r="A1742" s="1" t="s">
        <v>1656</v>
      </c>
      <c r="B1742" s="1" t="s">
        <v>1439</v>
      </c>
      <c r="C1742" s="1" t="s">
        <v>1440</v>
      </c>
      <c r="D1742" s="1" t="str">
        <f>"0597-47-1651  "</f>
        <v xml:space="preserve">0597-47-1651  </v>
      </c>
      <c r="E1742" s="1" t="s">
        <v>6</v>
      </c>
    </row>
    <row r="1743" spans="1:5" x14ac:dyDescent="0.55000000000000004">
      <c r="A1743" s="1" t="s">
        <v>1958</v>
      </c>
      <c r="B1743" s="1" t="s">
        <v>71</v>
      </c>
      <c r="C1743" s="1" t="s">
        <v>2488</v>
      </c>
      <c r="D1743" s="1" t="str">
        <f>"0597-36-1111  "</f>
        <v xml:space="preserve">0597-36-1111  </v>
      </c>
      <c r="E1743" s="1" t="s">
        <v>23</v>
      </c>
    </row>
    <row r="1744" spans="1:5" x14ac:dyDescent="0.55000000000000004">
      <c r="A1744" s="1" t="s">
        <v>2487</v>
      </c>
      <c r="B1744" s="1" t="s">
        <v>71</v>
      </c>
      <c r="C1744" s="1" t="s">
        <v>2488</v>
      </c>
      <c r="D1744" s="1" t="str">
        <f>"0597-36-1111  "</f>
        <v xml:space="preserve">0597-36-1111  </v>
      </c>
      <c r="E1744" s="1" t="s">
        <v>23</v>
      </c>
    </row>
    <row r="1745" spans="1:5" x14ac:dyDescent="0.55000000000000004">
      <c r="A1745" s="1" t="s">
        <v>2803</v>
      </c>
      <c r="B1745" s="1" t="s">
        <v>71</v>
      </c>
      <c r="C1745" s="1" t="s">
        <v>2488</v>
      </c>
      <c r="D1745" s="1" t="str">
        <f>"0597-36-1111  "</f>
        <v xml:space="preserve">0597-36-1111  </v>
      </c>
      <c r="E1745" s="1" t="s">
        <v>6</v>
      </c>
    </row>
    <row r="1746" spans="1:5" x14ac:dyDescent="0.55000000000000004">
      <c r="A1746" s="1" t="s">
        <v>2831</v>
      </c>
      <c r="B1746" s="1" t="s">
        <v>71</v>
      </c>
      <c r="C1746" s="1" t="s">
        <v>2488</v>
      </c>
      <c r="D1746" s="1" t="str">
        <f>"0597-36-1111  "</f>
        <v xml:space="preserve">0597-36-1111  </v>
      </c>
      <c r="E1746" s="1" t="s">
        <v>23</v>
      </c>
    </row>
    <row r="1747" spans="1:5" x14ac:dyDescent="0.55000000000000004">
      <c r="A1747" s="1" t="s">
        <v>2761</v>
      </c>
      <c r="B1747" s="1" t="s">
        <v>2762</v>
      </c>
      <c r="C1747" s="1" t="str">
        <f>"北牟婁郡紀北町島原2972-3"</f>
        <v>北牟婁郡紀北町島原2972-3</v>
      </c>
      <c r="D1747" s="1" t="str">
        <f>"0597-47-4346  "</f>
        <v xml:space="preserve">0597-47-4346  </v>
      </c>
      <c r="E1747" s="1" t="s">
        <v>6</v>
      </c>
    </row>
    <row r="1748" spans="1:5" x14ac:dyDescent="0.55000000000000004">
      <c r="A1748" s="1" t="s">
        <v>577</v>
      </c>
      <c r="B1748" s="1" t="s">
        <v>578</v>
      </c>
      <c r="C1748" s="1" t="str">
        <f>"熊野市井戸町丸山647-4"</f>
        <v>熊野市井戸町丸山647-4</v>
      </c>
      <c r="D1748" s="1" t="str">
        <f>"0597-89-2626  "</f>
        <v xml:space="preserve">0597-89-2626  </v>
      </c>
      <c r="E1748" s="1" t="s">
        <v>34</v>
      </c>
    </row>
    <row r="1749" spans="1:5" x14ac:dyDescent="0.55000000000000004">
      <c r="A1749" s="1" t="s">
        <v>2483</v>
      </c>
      <c r="B1749" s="1" t="s">
        <v>2484</v>
      </c>
      <c r="C1749" s="1" t="s">
        <v>2485</v>
      </c>
      <c r="D1749" s="1" t="str">
        <f>"0597-80-0022  "</f>
        <v xml:space="preserve">0597-80-0022  </v>
      </c>
      <c r="E1749" s="1" t="s">
        <v>528</v>
      </c>
    </row>
    <row r="1750" spans="1:5" x14ac:dyDescent="0.55000000000000004">
      <c r="A1750" s="1" t="s">
        <v>2763</v>
      </c>
      <c r="B1750" s="1" t="s">
        <v>2764</v>
      </c>
      <c r="C1750" s="1" t="s">
        <v>2765</v>
      </c>
      <c r="D1750" s="1" t="str">
        <f>"0597-89-2701  "</f>
        <v xml:space="preserve">0597-89-2701  </v>
      </c>
      <c r="E1750" s="1" t="s">
        <v>24</v>
      </c>
    </row>
    <row r="1751" spans="1:5" x14ac:dyDescent="0.55000000000000004">
      <c r="A1751" s="1" t="s">
        <v>2224</v>
      </c>
      <c r="B1751" s="1" t="s">
        <v>2225</v>
      </c>
      <c r="C1751" s="1" t="s">
        <v>2226</v>
      </c>
      <c r="D1751" s="1" t="str">
        <f>"0597-89-5035  "</f>
        <v xml:space="preserve">0597-89-5035  </v>
      </c>
      <c r="E1751" s="1" t="s">
        <v>2227</v>
      </c>
    </row>
    <row r="1752" spans="1:5" x14ac:dyDescent="0.55000000000000004">
      <c r="A1752" s="1" t="s">
        <v>3020</v>
      </c>
      <c r="B1752" s="1" t="s">
        <v>3021</v>
      </c>
      <c r="C1752" s="1" t="str">
        <f>"熊野市五郷町寺谷1065-4"</f>
        <v>熊野市五郷町寺谷1065-4</v>
      </c>
      <c r="D1752" s="1" t="str">
        <f>"0597-83-0356  "</f>
        <v xml:space="preserve">0597-83-0356  </v>
      </c>
      <c r="E1752" s="1" t="s">
        <v>3022</v>
      </c>
    </row>
    <row r="1753" spans="1:5" x14ac:dyDescent="0.55000000000000004">
      <c r="A1753" s="1" t="s">
        <v>20</v>
      </c>
      <c r="B1753" s="1" t="s">
        <v>21</v>
      </c>
      <c r="C1753" s="1" t="s">
        <v>2941</v>
      </c>
      <c r="D1753" s="1" t="str">
        <f>"0597-87-0626  "</f>
        <v xml:space="preserve">0597-87-0626  </v>
      </c>
      <c r="E1753" s="1" t="s">
        <v>2942</v>
      </c>
    </row>
    <row r="1754" spans="1:5" x14ac:dyDescent="0.55000000000000004">
      <c r="A1754" s="1" t="s">
        <v>2675</v>
      </c>
      <c r="B1754" s="1" t="s">
        <v>2676</v>
      </c>
      <c r="C1754" s="1" t="str">
        <f>"熊野市有馬町1233-1"</f>
        <v>熊野市有馬町1233-1</v>
      </c>
      <c r="D1754" s="1" t="str">
        <f>"0597-89-3739  "</f>
        <v xml:space="preserve">0597-89-3739  </v>
      </c>
      <c r="E1754" s="1" t="s">
        <v>14</v>
      </c>
    </row>
    <row r="1755" spans="1:5" x14ac:dyDescent="0.55000000000000004">
      <c r="A1755" s="1" t="s">
        <v>2183</v>
      </c>
      <c r="B1755" s="1" t="s">
        <v>2184</v>
      </c>
      <c r="C1755" s="1" t="s">
        <v>2185</v>
      </c>
      <c r="D1755" s="1" t="str">
        <f>"0597-85-3668  "</f>
        <v xml:space="preserve">0597-85-3668  </v>
      </c>
      <c r="E1755" s="1" t="s">
        <v>6</v>
      </c>
    </row>
    <row r="1756" spans="1:5" x14ac:dyDescent="0.55000000000000004">
      <c r="A1756" s="1" t="s">
        <v>2979</v>
      </c>
      <c r="B1756" s="1" t="s">
        <v>1132</v>
      </c>
      <c r="C1756" s="1" t="s">
        <v>1133</v>
      </c>
      <c r="D1756" s="1" t="str">
        <f t="shared" ref="D1756:D1767" si="67">"05979-2-1333  "</f>
        <v xml:space="preserve">05979-2-1333  </v>
      </c>
      <c r="E1756" s="1" t="s">
        <v>2980</v>
      </c>
    </row>
    <row r="1757" spans="1:5" x14ac:dyDescent="0.55000000000000004">
      <c r="A1757" s="1" t="s">
        <v>127</v>
      </c>
      <c r="B1757" s="1" t="s">
        <v>1132</v>
      </c>
      <c r="C1757" s="1" t="s">
        <v>1133</v>
      </c>
      <c r="D1757" s="1" t="str">
        <f t="shared" si="67"/>
        <v xml:space="preserve">05979-2-1333  </v>
      </c>
      <c r="E1757" s="1" t="s">
        <v>6</v>
      </c>
    </row>
    <row r="1758" spans="1:5" x14ac:dyDescent="0.55000000000000004">
      <c r="A1758" s="1" t="s">
        <v>3004</v>
      </c>
      <c r="B1758" s="1" t="s">
        <v>1132</v>
      </c>
      <c r="C1758" s="1" t="s">
        <v>1133</v>
      </c>
      <c r="D1758" s="1" t="str">
        <f t="shared" si="67"/>
        <v xml:space="preserve">05979-2-1333  </v>
      </c>
      <c r="E1758" s="1" t="s">
        <v>3005</v>
      </c>
    </row>
    <row r="1759" spans="1:5" x14ac:dyDescent="0.55000000000000004">
      <c r="A1759" s="1" t="s">
        <v>2578</v>
      </c>
      <c r="B1759" s="1" t="s">
        <v>1132</v>
      </c>
      <c r="C1759" s="1" t="s">
        <v>1133</v>
      </c>
      <c r="D1759" s="1" t="str">
        <f t="shared" si="67"/>
        <v xml:space="preserve">05979-2-1333  </v>
      </c>
      <c r="E1759" s="1" t="s">
        <v>7</v>
      </c>
    </row>
    <row r="1760" spans="1:5" x14ac:dyDescent="0.55000000000000004">
      <c r="A1760" s="1" t="s">
        <v>1131</v>
      </c>
      <c r="B1760" s="1" t="s">
        <v>1132</v>
      </c>
      <c r="C1760" s="1" t="s">
        <v>1133</v>
      </c>
      <c r="D1760" s="1" t="str">
        <f t="shared" si="67"/>
        <v xml:space="preserve">05979-2-1333  </v>
      </c>
      <c r="E1760" s="1" t="s">
        <v>111</v>
      </c>
    </row>
    <row r="1761" spans="1:5" x14ac:dyDescent="0.55000000000000004">
      <c r="A1761" s="1" t="s">
        <v>1134</v>
      </c>
      <c r="B1761" s="1" t="s">
        <v>1132</v>
      </c>
      <c r="C1761" s="1" t="s">
        <v>1133</v>
      </c>
      <c r="D1761" s="1" t="str">
        <f t="shared" si="67"/>
        <v xml:space="preserve">05979-2-1333  </v>
      </c>
      <c r="E1761" s="1" t="s">
        <v>23</v>
      </c>
    </row>
    <row r="1762" spans="1:5" x14ac:dyDescent="0.55000000000000004">
      <c r="A1762" s="1" t="s">
        <v>1135</v>
      </c>
      <c r="B1762" s="1" t="s">
        <v>1132</v>
      </c>
      <c r="C1762" s="1" t="s">
        <v>1133</v>
      </c>
      <c r="D1762" s="1" t="str">
        <f t="shared" si="67"/>
        <v xml:space="preserve">05979-2-1333  </v>
      </c>
      <c r="E1762" s="1" t="s">
        <v>34</v>
      </c>
    </row>
    <row r="1763" spans="1:5" x14ac:dyDescent="0.55000000000000004">
      <c r="A1763" s="1" t="s">
        <v>1369</v>
      </c>
      <c r="B1763" s="1" t="s">
        <v>1132</v>
      </c>
      <c r="C1763" s="1" t="s">
        <v>1133</v>
      </c>
      <c r="D1763" s="1" t="str">
        <f t="shared" si="67"/>
        <v xml:space="preserve">05979-2-1333  </v>
      </c>
      <c r="E1763" s="1" t="s">
        <v>6</v>
      </c>
    </row>
    <row r="1764" spans="1:5" x14ac:dyDescent="0.55000000000000004">
      <c r="A1764" s="1" t="s">
        <v>1415</v>
      </c>
      <c r="B1764" s="1" t="s">
        <v>1132</v>
      </c>
      <c r="C1764" s="1" t="s">
        <v>1133</v>
      </c>
      <c r="D1764" s="1" t="str">
        <f t="shared" si="67"/>
        <v xml:space="preserve">05979-2-1333  </v>
      </c>
      <c r="E1764" s="1" t="s">
        <v>23</v>
      </c>
    </row>
    <row r="1765" spans="1:5" x14ac:dyDescent="0.55000000000000004">
      <c r="A1765" s="1" t="s">
        <v>1469</v>
      </c>
      <c r="B1765" s="1" t="s">
        <v>1132</v>
      </c>
      <c r="C1765" s="1" t="s">
        <v>1133</v>
      </c>
      <c r="D1765" s="1" t="str">
        <f t="shared" si="67"/>
        <v xml:space="preserve">05979-2-1333  </v>
      </c>
      <c r="E1765" s="1" t="s">
        <v>131</v>
      </c>
    </row>
    <row r="1766" spans="1:5" x14ac:dyDescent="0.55000000000000004">
      <c r="A1766" s="1" t="s">
        <v>2610</v>
      </c>
      <c r="B1766" s="1" t="s">
        <v>1132</v>
      </c>
      <c r="C1766" s="1" t="s">
        <v>1133</v>
      </c>
      <c r="D1766" s="1" t="str">
        <f t="shared" si="67"/>
        <v xml:space="preserve">05979-2-1333  </v>
      </c>
      <c r="E1766" s="1" t="s">
        <v>34</v>
      </c>
    </row>
    <row r="1767" spans="1:5" x14ac:dyDescent="0.55000000000000004">
      <c r="A1767" s="1" t="s">
        <v>2625</v>
      </c>
      <c r="B1767" s="1" t="s">
        <v>1132</v>
      </c>
      <c r="C1767" s="1" t="s">
        <v>1133</v>
      </c>
      <c r="D1767" s="1" t="str">
        <f t="shared" si="67"/>
        <v xml:space="preserve">05979-2-1333  </v>
      </c>
      <c r="E1767" s="1" t="s">
        <v>6</v>
      </c>
    </row>
    <row r="1768" spans="1:5" x14ac:dyDescent="0.55000000000000004">
      <c r="A1768" s="1" t="s">
        <v>2784</v>
      </c>
      <c r="B1768" s="1" t="s">
        <v>2785</v>
      </c>
      <c r="C1768" s="1" t="str">
        <f>"南牟婁郡御浜町阿田和5189-1"</f>
        <v>南牟婁郡御浜町阿田和5189-1</v>
      </c>
      <c r="D1768" s="1" t="str">
        <f>"05979-3-1155  "</f>
        <v xml:space="preserve">05979-3-1155  </v>
      </c>
      <c r="E1768" s="1" t="s">
        <v>6</v>
      </c>
    </row>
    <row r="1769" spans="1:5" x14ac:dyDescent="0.55000000000000004">
      <c r="A1769" s="1" t="s">
        <v>1980</v>
      </c>
      <c r="B1769" s="1" t="s">
        <v>1981</v>
      </c>
      <c r="C1769" s="1" t="str">
        <f>"南牟婁郡紀宝町成川44-1"</f>
        <v>南牟婁郡紀宝町成川44-1</v>
      </c>
      <c r="D1769" s="1" t="str">
        <f>"0735-28-1030  "</f>
        <v xml:space="preserve">0735-28-1030  </v>
      </c>
      <c r="E1769" s="1" t="s">
        <v>14</v>
      </c>
    </row>
    <row r="1770" spans="1:5" x14ac:dyDescent="0.55000000000000004">
      <c r="A1770" s="1" t="s">
        <v>3000</v>
      </c>
      <c r="B1770" s="1" t="s">
        <v>3001</v>
      </c>
      <c r="C1770" s="1" t="s">
        <v>3002</v>
      </c>
      <c r="D1770" s="1" t="str">
        <f>"0735-34-0011  "</f>
        <v xml:space="preserve">0735-34-0011  </v>
      </c>
      <c r="E1770" s="1" t="s">
        <v>6</v>
      </c>
    </row>
  </sheetData>
  <autoFilter ref="A2:E1770" xr:uid="{A8E61E3E-B3EA-4959-90E9-97EEA26F145D}">
    <sortState xmlns:xlrd2="http://schemas.microsoft.com/office/spreadsheetml/2017/richdata2" ref="A3:E1770">
      <sortCondition ref="B3:B1770"/>
    </sortState>
  </autoFilter>
  <phoneticPr fontId="18"/>
  <pageMargins left="0.7" right="0.7" top="0.75" bottom="0.75" header="0.3" footer="0.3"/>
  <pageSetup paperSize="8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